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6380" windowHeight="8190" tabRatio="500" firstSheet="1" activeTab="4"/>
  </bookViews>
  <sheets>
    <sheet name="1. Основные положения ГП Уточ" sheetId="1" r:id="rId1"/>
    <sheet name="2. Показатели ГП УТОЧ" sheetId="4" r:id="rId2"/>
    <sheet name="3. Показатели ГП_по месяцам" sheetId="5" r:id="rId3"/>
    <sheet name="4. Структура НОВАЯ" sheetId="7" r:id="rId4"/>
    <sheet name="5. Финансиров 20.02.2025" sheetId="2" r:id="rId5"/>
    <sheet name="Лист5" sheetId="3" r:id="rId6"/>
  </sheets>
  <externalReferences>
    <externalReference r:id="rId7"/>
    <externalReference r:id="rId8"/>
  </externalReferences>
  <definedNames>
    <definedName name="_bookmark4" localSheetId="4">'[1]5. финансиров 26.11'!#REF!</definedName>
    <definedName name="_ftn2" localSheetId="0">'1. Основные положения ГП Уточ'!#REF!</definedName>
    <definedName name="_ftn2" localSheetId="3">'4. Структура НОВАЯ'!#REF!</definedName>
    <definedName name="_ftn3" localSheetId="0">'1. Основные положения ГП Уточ'!#REF!</definedName>
    <definedName name="_ftn3" localSheetId="3">'4. Структура НОВАЯ'!#REF!</definedName>
    <definedName name="_ftn4" localSheetId="0">'1. Основные положения ГП Уточ'!#REF!</definedName>
    <definedName name="_ftn5" localSheetId="0">'1. Основные положения ГП Уточ'!#REF!</definedName>
    <definedName name="_ftnref2" localSheetId="0">'1. Основные положения ГП Уточ'!$A$6</definedName>
    <definedName name="_ftnref3" localSheetId="0">'1. Основные положения ГП Уточ'!$A$8</definedName>
    <definedName name="_ftnref4" localSheetId="0">'1. Основные положения ГП Уточ'!#REF!</definedName>
    <definedName name="_ftnref4" localSheetId="3">'4. Структура НОВАЯ'!#REF!</definedName>
    <definedName name="_ftnref5" localSheetId="0">'1. Основные положения ГП Уточ'!$B$15</definedName>
    <definedName name="_ftnref5" localSheetId="3">'4. Структура НОВАЯ'!#REF!</definedName>
    <definedName name="_ftnref6" localSheetId="3">'4. Структура НОВАЯ'!#REF!</definedName>
    <definedName name="_xlnm.Print_Titles" localSheetId="1">'2. Показатели ГП УТОЧ'!$10:$12</definedName>
    <definedName name="_xlnm.Print_Titles" localSheetId="3">'4. Структура НОВАЯ'!$3:$5</definedName>
    <definedName name="_xlnm.Print_Titles" localSheetId="4">'5. Финансиров 20.02.2025'!$57:$59</definedName>
    <definedName name="_xlnm.Print_Area" localSheetId="0">'1. Основные положения ГП Уточ'!$A$1:$C$32</definedName>
    <definedName name="_xlnm.Print_Area" localSheetId="1">'2. Показатели ГП УТОЧ'!$A$1:$R$17</definedName>
    <definedName name="_xlnm.Print_Area" localSheetId="2">'3. Показатели ГП_по месяцам'!$A$2:$P$12</definedName>
    <definedName name="_xlnm.Print_Area" localSheetId="3">'4. Структура НОВАЯ'!$A$1:$D$59</definedName>
    <definedName name="_xlnm.Print_Area" localSheetId="4">'5. Финансиров 20.02.2025'!$A$9:$O$223</definedName>
  </definedNames>
  <calcPr calcId="124519"/>
  <extLst>
    <ext xmlns:loext="http://schemas.libreoffice.org/" uri="{7626C862-2A13-11E5-B345-FEFF819CDC9F}">
      <loext:extCalcPr stringRefSyntax="ExcelA1"/>
    </ext>
  </extLst>
</workbook>
</file>

<file path=xl/calcChain.xml><?xml version="1.0" encoding="utf-8"?>
<calcChain xmlns="http://schemas.openxmlformats.org/spreadsheetml/2006/main">
  <c r="S64" i="2"/>
  <c r="S63"/>
  <c r="N205"/>
  <c r="M205"/>
  <c r="L205"/>
  <c r="K205"/>
  <c r="J205"/>
  <c r="I205"/>
  <c r="H205"/>
  <c r="J182"/>
  <c r="I182"/>
  <c r="H182"/>
  <c r="J154"/>
  <c r="I154"/>
  <c r="H154"/>
  <c r="J126"/>
  <c r="H126"/>
  <c r="K107"/>
  <c r="J107"/>
  <c r="I107"/>
  <c r="H107"/>
  <c r="I96"/>
  <c r="H96"/>
  <c r="L141"/>
  <c r="N141" l="1"/>
  <c r="M141"/>
  <c r="A1" i="5" l="1"/>
  <c r="O212" i="2"/>
  <c r="N211"/>
  <c r="O211" s="1"/>
  <c r="O210"/>
  <c r="H210"/>
  <c r="H208" s="1"/>
  <c r="Q208" s="1"/>
  <c r="L209"/>
  <c r="M209" s="1"/>
  <c r="L208"/>
  <c r="U208" s="1"/>
  <c r="K208"/>
  <c r="T208" s="1"/>
  <c r="J208"/>
  <c r="S208" s="1"/>
  <c r="I208"/>
  <c r="R208" s="1"/>
  <c r="O204"/>
  <c r="O205" s="1"/>
  <c r="N201"/>
  <c r="M201"/>
  <c r="L201"/>
  <c r="K201"/>
  <c r="J201"/>
  <c r="I201"/>
  <c r="O198"/>
  <c r="O197"/>
  <c r="H197"/>
  <c r="O196"/>
  <c r="O195"/>
  <c r="I194"/>
  <c r="O194" s="1"/>
  <c r="H193"/>
  <c r="H201" s="1"/>
  <c r="O201" s="1"/>
  <c r="O192"/>
  <c r="O191"/>
  <c r="H191"/>
  <c r="H190"/>
  <c r="O190" s="1"/>
  <c r="O189"/>
  <c r="O188"/>
  <c r="O187"/>
  <c r="O186"/>
  <c r="N185"/>
  <c r="W185" s="1"/>
  <c r="M185"/>
  <c r="V185" s="1"/>
  <c r="L185"/>
  <c r="U185" s="1"/>
  <c r="K185"/>
  <c r="T185" s="1"/>
  <c r="J185"/>
  <c r="S185" s="1"/>
  <c r="I185"/>
  <c r="R185" s="1"/>
  <c r="H185"/>
  <c r="O185" s="1"/>
  <c r="O181"/>
  <c r="O182" s="1"/>
  <c r="N178"/>
  <c r="M178"/>
  <c r="L178"/>
  <c r="K178"/>
  <c r="J178"/>
  <c r="I178"/>
  <c r="H178"/>
  <c r="I175"/>
  <c r="O175" s="1"/>
  <c r="J174"/>
  <c r="I174"/>
  <c r="O174" s="1"/>
  <c r="O173"/>
  <c r="O172"/>
  <c r="O171"/>
  <c r="O170"/>
  <c r="O169"/>
  <c r="O168"/>
  <c r="N167"/>
  <c r="M167"/>
  <c r="L167"/>
  <c r="O167" s="1"/>
  <c r="O166"/>
  <c r="O165"/>
  <c r="O164"/>
  <c r="O163"/>
  <c r="N162"/>
  <c r="N157" s="1"/>
  <c r="W157" s="1"/>
  <c r="M162"/>
  <c r="O162" s="1"/>
  <c r="L162"/>
  <c r="K162"/>
  <c r="J162"/>
  <c r="J157" s="1"/>
  <c r="S157" s="1"/>
  <c r="I157"/>
  <c r="R157" s="1"/>
  <c r="H161"/>
  <c r="H157" s="1"/>
  <c r="O160"/>
  <c r="O159"/>
  <c r="H159"/>
  <c r="H158"/>
  <c r="O158" s="1"/>
  <c r="L157"/>
  <c r="U157" s="1"/>
  <c r="K157"/>
  <c r="T157" s="1"/>
  <c r="O153"/>
  <c r="O154" s="1"/>
  <c r="N150"/>
  <c r="N65" s="1"/>
  <c r="M150"/>
  <c r="L150"/>
  <c r="K150"/>
  <c r="J150"/>
  <c r="I150"/>
  <c r="H150"/>
  <c r="O147"/>
  <c r="O146"/>
  <c r="K146"/>
  <c r="J146"/>
  <c r="O145"/>
  <c r="O144"/>
  <c r="O143"/>
  <c r="O142"/>
  <c r="I141"/>
  <c r="I138" s="1"/>
  <c r="O140"/>
  <c r="H139"/>
  <c r="O139" s="1"/>
  <c r="N138"/>
  <c r="M138"/>
  <c r="V138" s="1"/>
  <c r="L138"/>
  <c r="L62" s="1"/>
  <c r="K138"/>
  <c r="T138" s="1"/>
  <c r="J138"/>
  <c r="S138" s="1"/>
  <c r="H138"/>
  <c r="Q138" s="1"/>
  <c r="O127"/>
  <c r="O125"/>
  <c r="O126" s="1"/>
  <c r="J122"/>
  <c r="H122"/>
  <c r="H65" s="1"/>
  <c r="O120"/>
  <c r="J119"/>
  <c r="H119"/>
  <c r="O119" s="1"/>
  <c r="Q119" s="1"/>
  <c r="O110"/>
  <c r="O106"/>
  <c r="O107" s="1"/>
  <c r="H103"/>
  <c r="O101"/>
  <c r="K100"/>
  <c r="K103" s="1"/>
  <c r="K65" s="1"/>
  <c r="J100"/>
  <c r="J103" s="1"/>
  <c r="I100"/>
  <c r="I103" s="1"/>
  <c r="W99"/>
  <c r="V99"/>
  <c r="U99"/>
  <c r="S99"/>
  <c r="R99"/>
  <c r="H99"/>
  <c r="O99" s="1"/>
  <c r="I95"/>
  <c r="I68" s="1"/>
  <c r="I69" s="1"/>
  <c r="I92"/>
  <c r="H92"/>
  <c r="K90"/>
  <c r="J90"/>
  <c r="I90"/>
  <c r="O90" s="1"/>
  <c r="O89"/>
  <c r="O88"/>
  <c r="O87"/>
  <c r="O86"/>
  <c r="O85"/>
  <c r="I84"/>
  <c r="O84" s="1"/>
  <c r="K83"/>
  <c r="J83"/>
  <c r="J81" s="1"/>
  <c r="J62" s="1"/>
  <c r="O82"/>
  <c r="K82"/>
  <c r="J82"/>
  <c r="I82"/>
  <c r="K81"/>
  <c r="I81"/>
  <c r="O80"/>
  <c r="O79"/>
  <c r="O78"/>
  <c r="O77"/>
  <c r="O76"/>
  <c r="O75"/>
  <c r="O74"/>
  <c r="U73"/>
  <c r="T73"/>
  <c r="S73"/>
  <c r="H73"/>
  <c r="H62" s="1"/>
  <c r="O70"/>
  <c r="J70"/>
  <c r="H70"/>
  <c r="N68"/>
  <c r="N69" s="1"/>
  <c r="M68"/>
  <c r="M69" s="1"/>
  <c r="L68"/>
  <c r="L69" s="1"/>
  <c r="K68"/>
  <c r="K69" s="1"/>
  <c r="J68"/>
  <c r="H68"/>
  <c r="H69" s="1"/>
  <c r="L65"/>
  <c r="K63"/>
  <c r="J63"/>
  <c r="I63"/>
  <c r="H63"/>
  <c r="O63" s="1"/>
  <c r="C19" i="1" s="1"/>
  <c r="O54" i="2"/>
  <c r="O53"/>
  <c r="O52"/>
  <c r="N51"/>
  <c r="M51"/>
  <c r="L51"/>
  <c r="O51" s="1"/>
  <c r="K51"/>
  <c r="J51"/>
  <c r="I51"/>
  <c r="H51"/>
  <c r="O50"/>
  <c r="O49"/>
  <c r="O48"/>
  <c r="N47"/>
  <c r="M47"/>
  <c r="L47"/>
  <c r="K47"/>
  <c r="J47"/>
  <c r="I47"/>
  <c r="H47"/>
  <c r="O47" s="1"/>
  <c r="O46"/>
  <c r="O45"/>
  <c r="O44"/>
  <c r="N43"/>
  <c r="M43"/>
  <c r="L43"/>
  <c r="K43"/>
  <c r="J43"/>
  <c r="I43"/>
  <c r="H43"/>
  <c r="O43" s="1"/>
  <c r="O41"/>
  <c r="O40"/>
  <c r="N39"/>
  <c r="M39"/>
  <c r="M14" s="1"/>
  <c r="L39"/>
  <c r="O39" s="1"/>
  <c r="K39"/>
  <c r="J39"/>
  <c r="I39"/>
  <c r="H39"/>
  <c r="O38"/>
  <c r="O37"/>
  <c r="O36"/>
  <c r="N35"/>
  <c r="M35"/>
  <c r="L35"/>
  <c r="K35"/>
  <c r="J35"/>
  <c r="I35"/>
  <c r="H35"/>
  <c r="O35" s="1"/>
  <c r="O34"/>
  <c r="O33"/>
  <c r="O32"/>
  <c r="N31"/>
  <c r="M31"/>
  <c r="L31"/>
  <c r="L14" s="1"/>
  <c r="K31"/>
  <c r="K14" s="1"/>
  <c r="J31"/>
  <c r="J14" s="1"/>
  <c r="I31"/>
  <c r="H31"/>
  <c r="O31" s="1"/>
  <c r="O30"/>
  <c r="O29"/>
  <c r="O28"/>
  <c r="I27"/>
  <c r="O27" s="1"/>
  <c r="H27"/>
  <c r="O26"/>
  <c r="O25"/>
  <c r="O24"/>
  <c r="I23"/>
  <c r="I14" s="1"/>
  <c r="H23"/>
  <c r="H14" s="1"/>
  <c r="O22"/>
  <c r="O21"/>
  <c r="O20"/>
  <c r="J19"/>
  <c r="I19"/>
  <c r="H19"/>
  <c r="O19" s="1"/>
  <c r="N17"/>
  <c r="O17" s="1"/>
  <c r="M17"/>
  <c r="L17"/>
  <c r="K17"/>
  <c r="J17"/>
  <c r="I17"/>
  <c r="H17"/>
  <c r="N16"/>
  <c r="O16" s="1"/>
  <c r="M16"/>
  <c r="L16"/>
  <c r="K16"/>
  <c r="J16"/>
  <c r="I16"/>
  <c r="H16"/>
  <c r="N15"/>
  <c r="O15" s="1"/>
  <c r="M15"/>
  <c r="L15"/>
  <c r="K15"/>
  <c r="J15"/>
  <c r="I15"/>
  <c r="H15"/>
  <c r="N14"/>
  <c r="A1"/>
  <c r="C25" i="1"/>
  <c r="X185" i="2" l="1"/>
  <c r="O68"/>
  <c r="O178"/>
  <c r="J65"/>
  <c r="J69" s="1"/>
  <c r="O150"/>
  <c r="I65"/>
  <c r="J56"/>
  <c r="J61"/>
  <c r="H61"/>
  <c r="H56"/>
  <c r="L61"/>
  <c r="L56"/>
  <c r="O103"/>
  <c r="X208"/>
  <c r="N209"/>
  <c r="N208" s="1"/>
  <c r="W208" s="1"/>
  <c r="M208"/>
  <c r="V208" s="1"/>
  <c r="O14"/>
  <c r="R138"/>
  <c r="X138" s="1"/>
  <c r="O138"/>
  <c r="Q153" s="1"/>
  <c r="I62"/>
  <c r="Q157"/>
  <c r="X157" s="1"/>
  <c r="O157"/>
  <c r="O81"/>
  <c r="U138"/>
  <c r="O23"/>
  <c r="R73"/>
  <c r="O95"/>
  <c r="M65"/>
  <c r="Q73"/>
  <c r="O83"/>
  <c r="W138"/>
  <c r="O161"/>
  <c r="O193"/>
  <c r="K62"/>
  <c r="O73"/>
  <c r="O92"/>
  <c r="T99"/>
  <c r="O100"/>
  <c r="O122"/>
  <c r="O141"/>
  <c r="M157"/>
  <c r="V157" s="1"/>
  <c r="Q185"/>
  <c r="Q99"/>
  <c r="X99" s="1"/>
  <c r="O209"/>
  <c r="O208" s="1"/>
  <c r="O96" l="1"/>
  <c r="C24" i="1"/>
  <c r="N62" i="2"/>
  <c r="Q81"/>
  <c r="X73"/>
  <c r="O65"/>
  <c r="C21" i="1" s="1"/>
  <c r="M62" i="2"/>
  <c r="K61"/>
  <c r="K56"/>
  <c r="I56"/>
  <c r="I61"/>
  <c r="O69" l="1"/>
  <c r="M61"/>
  <c r="O61" s="1"/>
  <c r="C17" i="1" s="1"/>
  <c r="M56" i="2"/>
  <c r="O62"/>
  <c r="N61"/>
  <c r="N56"/>
  <c r="R63" l="1"/>
  <c r="C18" i="1"/>
  <c r="O56" i="2"/>
  <c r="Q62"/>
</calcChain>
</file>

<file path=xl/sharedStrings.xml><?xml version="1.0" encoding="utf-8"?>
<sst xmlns="http://schemas.openxmlformats.org/spreadsheetml/2006/main" count="673" uniqueCount="359">
  <si>
    <t xml:space="preserve">                                                            Приложение </t>
  </si>
  <si>
    <t xml:space="preserve">                                                                 к постановлению Правительства Белгородской области</t>
  </si>
  <si>
    <t xml:space="preserve">                                                                   № ____________</t>
  </si>
  <si>
    <t>1. Основные положения</t>
  </si>
  <si>
    <t xml:space="preserve">Куратор государственной программы </t>
  </si>
  <si>
    <t xml:space="preserve">Ответственный исполнитель государственной программы </t>
  </si>
  <si>
    <t>Евтушенко С.В. –  министр автомобильных дорог и транспорта Белгородской области</t>
  </si>
  <si>
    <t>Период реализации государственной программы</t>
  </si>
  <si>
    <t>2024 – 2030 годы</t>
  </si>
  <si>
    <t>Цель государственной программы</t>
  </si>
  <si>
    <t xml:space="preserve">Обеспечение доли дорожной сети в крупнейших городских агломерациях, соответствующей
нормативным требованиям, на уровне не менее 85 процентов  к 2030 году                                                </t>
  </si>
  <si>
    <t xml:space="preserve">Направления (подпрограммы) государственной программы </t>
  </si>
  <si>
    <t>Направление (подпрограмма) не выделяется</t>
  </si>
  <si>
    <t>Направление (подпрограмма) N «Наименование»</t>
  </si>
  <si>
    <t>Объемы финансового обеспечения за весь период реализации, в том числе по источникам финансирования:</t>
  </si>
  <si>
    <t>Источник финансового обеспечения</t>
  </si>
  <si>
    <t>Объем финансового обеспечения, тыс. рублей</t>
  </si>
  <si>
    <t>ВСЕГО</t>
  </si>
  <si>
    <t>Региональный бюджет (всего), из них:</t>
  </si>
  <si>
    <t xml:space="preserve">   </t>
  </si>
  <si>
    <t>- межбюджетные трансферты из федерального бюджета (справочно)</t>
  </si>
  <si>
    <t>- межбюджетные трансферты из иных бюджетов бюджетной системы Российской Федерации (справочно)</t>
  </si>
  <si>
    <t xml:space="preserve"> - межбюджетные трансферты местным бюджетам</t>
  </si>
  <si>
    <t>- межбюджетные трансферты бюджету территориального государственного внебюджетного фонда (бюджету территориального фонда обязательного медицинского страхования)</t>
  </si>
  <si>
    <t>Бюджет территориального государственного внебюджетного фонда (бюджет территориального фонда обязательного медицинского страхования)</t>
  </si>
  <si>
    <t>Консолидированные бюджеты муниципальных образований</t>
  </si>
  <si>
    <t>Внебюджетные источники</t>
  </si>
  <si>
    <t>Объем налоговых расходов (справочно)</t>
  </si>
  <si>
    <t>Связь с национальными целями развития Российской Федерации / государственной программой Российской Федерации</t>
  </si>
  <si>
    <t xml:space="preserve">Национальная цель:  «Комфортная и безопасная среда для жизни»                              </t>
  </si>
  <si>
    <t xml:space="preserve"> </t>
  </si>
  <si>
    <t xml:space="preserve">Показатель: увеличение к 2030 году доли соответствующих нормативным требованиям автомобильных дорог федерального значения и дорог крупнейших городских агломераций не менее чем до 85 процентов, опорной сети автомобильных дорог – не менее чем до 85 процентов                        </t>
  </si>
  <si>
    <t>Государственная программа Российской Федерации «Развитие транспортной системы», утвержденная постановлением Правительства Российской Федерации от 20 декабря 2017 года № 1596</t>
  </si>
  <si>
    <t xml:space="preserve">Цель: доведение доли автомобильных дорог регионального и межмуниципального значения, соответствущих нормативным требованиям, до 60 процентов  </t>
  </si>
  <si>
    <t>Связь с целями развития Белгородской области / стратегическими приоритетами Белгородской области</t>
  </si>
  <si>
    <t xml:space="preserve">Цель стратегического развития Белгородской области: обеспечить справедливые возможности                 и достойную жизнь в лучшем регионе России (обеспечение транспортной доступности на всей территории Белгородской области и повышение уровня безопасности транспортной инфраструктуры)                   </t>
  </si>
  <si>
    <t>Показатель: доля протяженности автомобильных дорог общего пользования регионального (межмуниципального) значения, соответствующих нормативным требованиям к транспортно- эксплуатационным показателям, в общей протяженности автомобильных дорог общего пользования регионального или межмуниципального значения</t>
  </si>
  <si>
    <t xml:space="preserve">Приложение </t>
  </si>
  <si>
    <t>к постановлению Правительства                                                                             Белгородской области</t>
  </si>
  <si>
    <t xml:space="preserve">от  _______________________ 2024 г.     </t>
  </si>
  <si>
    <t xml:space="preserve"> № ____________</t>
  </si>
  <si>
    <t>II. Паспорт государственной программы Белгородской области «Совершенствование и развитие транспортной системы                                                                                                                                                                                                    и дорожной сети Белгородской области» (далее – государственная программа)</t>
  </si>
  <si>
    <t xml:space="preserve">5. Финансовое обеспечение государственной программы </t>
  </si>
  <si>
    <t>Таблица 1</t>
  </si>
  <si>
    <t>№ п/п</t>
  </si>
  <si>
    <t xml:space="preserve">Наименование государственной программы, структурного элемента государственной программы </t>
  </si>
  <si>
    <t>Объем финансового обеспечения по годам реализации, тыс. рублей</t>
  </si>
  <si>
    <t>2024 год</t>
  </si>
  <si>
    <t>2025 год</t>
  </si>
  <si>
    <t>2026 год</t>
  </si>
  <si>
    <t>2027 год</t>
  </si>
  <si>
    <t>2028 год</t>
  </si>
  <si>
    <t>2029 год</t>
  </si>
  <si>
    <t>2030 год</t>
  </si>
  <si>
    <t>Всего</t>
  </si>
  <si>
    <t>1.</t>
  </si>
  <si>
    <t>Государственная программа Белгородской области «Совершенствование и развитие транспортной системы и дорожной сети Белгородской области»</t>
  </si>
  <si>
    <t>Всего, в том числе:</t>
  </si>
  <si>
    <t>1.1.</t>
  </si>
  <si>
    <t xml:space="preserve">Федеральный бюджет </t>
  </si>
  <si>
    <t>1.2.</t>
  </si>
  <si>
    <t>Областной бюджет</t>
  </si>
  <si>
    <t>1.3.</t>
  </si>
  <si>
    <t>1.4.</t>
  </si>
  <si>
    <t>Общий объем налоговых расходов, предусмотренных в рамках государственной программы (справочно)</t>
  </si>
  <si>
    <t>N 1</t>
  </si>
  <si>
    <t>Региональный проект                                                                             «Региональная и местная дорожная сеть»</t>
  </si>
  <si>
    <t>Бюджет Белгородской области</t>
  </si>
  <si>
    <t>N 2</t>
  </si>
  <si>
    <t>Региональный проект                                                                             «Общесистемные меры развития дорожного хозяйства»</t>
  </si>
  <si>
    <t>2.1.</t>
  </si>
  <si>
    <t>2.2.</t>
  </si>
  <si>
    <t>2.3.</t>
  </si>
  <si>
    <t>N 3</t>
  </si>
  <si>
    <t>Региональный проект                                                                             «Безопасность дорожного движения»</t>
  </si>
  <si>
    <t>3.1.</t>
  </si>
  <si>
    <t>3.2.</t>
  </si>
  <si>
    <t>3.3.</t>
  </si>
  <si>
    <t>N 4</t>
  </si>
  <si>
    <t>Региональный проект «Развитие транспортной инфраструктуры на сельских территориях»</t>
  </si>
  <si>
    <t>4.1.</t>
  </si>
  <si>
    <t>4.2.</t>
  </si>
  <si>
    <t>4.3.</t>
  </si>
  <si>
    <t>Региональный проект «Содействие развитию автомобильных дорог регионального, межмуниципального и местного значения»</t>
  </si>
  <si>
    <t>N 5</t>
  </si>
  <si>
    <t>Ведомственный проект «Увеличение  пропускной способности автомобильных дорог и обеспечение транспортной доступности населенных пунктов                                                                                              и микрорайонов массовой жилищной застройки»</t>
  </si>
  <si>
    <t>5.1.</t>
  </si>
  <si>
    <t>5.2.</t>
  </si>
  <si>
    <t>5.3.</t>
  </si>
  <si>
    <t>N 6</t>
  </si>
  <si>
    <t>Комплекс процессных мероприятий «Обеспечение сохранности существующей сети автомобильных дорог»</t>
  </si>
  <si>
    <t>6.1.</t>
  </si>
  <si>
    <t>6.2.</t>
  </si>
  <si>
    <t>6.3.</t>
  </si>
  <si>
    <t>N 7</t>
  </si>
  <si>
    <t>Комплекс процессных мероприятий «Создание условий для организации транспортного обслуживания населения»</t>
  </si>
  <si>
    <t>7.1.</t>
  </si>
  <si>
    <t>7.2.</t>
  </si>
  <si>
    <t>7.3.</t>
  </si>
  <si>
    <t>N 8</t>
  </si>
  <si>
    <t>Комплекс процессных мероприятий «Исполнение государственных функций исполнительным органом Белгородской области в сфере дорожной деятельности и организации транспортного обслуживания населения области»</t>
  </si>
  <si>
    <t>8.1.</t>
  </si>
  <si>
    <t>8.2.</t>
  </si>
  <si>
    <t>8.3.</t>
  </si>
  <si>
    <t xml:space="preserve"> №    п/п</t>
  </si>
  <si>
    <t>Наименование государственной программы, структурного элемента, источник финансового обеспечения</t>
  </si>
  <si>
    <t>Код бюджетной классификации</t>
  </si>
  <si>
    <t>Объем финансового обеспечения по годам, тыс. рублей</t>
  </si>
  <si>
    <t>ГРБС / Рз / Пр / ЦСР / ВР</t>
  </si>
  <si>
    <t>итого</t>
  </si>
  <si>
    <t>Государственная программа «Совершенствование и развитие транспортной системы и дорожной сети Белгородской области»</t>
  </si>
  <si>
    <t xml:space="preserve"> 04 09</t>
  </si>
  <si>
    <t> - межбюджетные трансферты местным бюджетам</t>
  </si>
  <si>
    <t>Региональный проект «Региональная и местная дорожная сеть», входящий в национальный проект</t>
  </si>
  <si>
    <t>10 1 R1</t>
  </si>
  <si>
    <t xml:space="preserve">10 1 R1 R0010 </t>
  </si>
  <si>
    <t xml:space="preserve">10 1 R1 R0020 </t>
  </si>
  <si>
    <t xml:space="preserve">10 1 R1 53940 </t>
  </si>
  <si>
    <t xml:space="preserve">10 1 R1 R0030 </t>
  </si>
  <si>
    <t xml:space="preserve">10 1 И8  </t>
  </si>
  <si>
    <t xml:space="preserve">10 1 И8 54470 </t>
  </si>
  <si>
    <t xml:space="preserve">10 1 И8 9Д140 </t>
  </si>
  <si>
    <t xml:space="preserve">10 1 И8 9Д150 </t>
  </si>
  <si>
    <t xml:space="preserve">10 1 И8 9Д160 </t>
  </si>
  <si>
    <t xml:space="preserve">10 1 И8 9Д170 </t>
  </si>
  <si>
    <t xml:space="preserve"> трансферты из федерального бюджета (справочно)</t>
  </si>
  <si>
    <t>2.</t>
  </si>
  <si>
    <t>Региональный проект «Общесистемные меры развития дорожного хозяйства», входящий в национальный проект</t>
  </si>
  <si>
    <t>10 1 R2 54180</t>
  </si>
  <si>
    <t>10 1 И9 54180</t>
  </si>
  <si>
    <t>3.</t>
  </si>
  <si>
    <t>Региональный проект «Безопасность дорожного движения», входящий в национальный проект</t>
  </si>
  <si>
    <t xml:space="preserve"> 07 09</t>
  </si>
  <si>
    <t>10 1 R3 R0040</t>
  </si>
  <si>
    <t>4.</t>
  </si>
  <si>
    <t>Региональный проект «Развитие транспортной инфраструктуры на сельских территориях», не входящий в национальный проект</t>
  </si>
  <si>
    <t>10 2 01 R3720</t>
  </si>
  <si>
    <t>5.</t>
  </si>
  <si>
    <t>межбюджетные трансферты местным бюджетам</t>
  </si>
  <si>
    <t>межбюджетные трансферты бюджетам территориальных государственных внебюджетных фондов Российской Федерации</t>
  </si>
  <si>
    <t>Бюджеты территориальных государственных внебюджетных фондов (бюджеты территориальных фондов обязательного медицинского страхования)</t>
  </si>
  <si>
    <t>Консолидированные бюджеты муниципальных образований, из них:</t>
  </si>
  <si>
    <t>межбюджетные трансферты бюджету субъекта Российской Федерации</t>
  </si>
  <si>
    <t>Ведомственный проект «Увеличение  пропускной способности автомобильных дорог и обеспечение транспортной доступности населенных пунктов и микрорайонов массовой жилищной застройки»</t>
  </si>
  <si>
    <t xml:space="preserve">10 3 01 </t>
  </si>
  <si>
    <t>10 3 01 40380</t>
  </si>
  <si>
    <t>200; 400; 800</t>
  </si>
  <si>
    <t>10 3 01 72130</t>
  </si>
  <si>
    <t>10 3 01 9Д010</t>
  </si>
  <si>
    <t>10 3 01 9Д020</t>
  </si>
  <si>
    <t>10 3 01 9Д030</t>
  </si>
  <si>
    <t>10 3 01 9Д040</t>
  </si>
  <si>
    <t>10 3 01 9Д050</t>
  </si>
  <si>
    <t>6.</t>
  </si>
  <si>
    <t>Комплекс процессных мероприятий  «Обеспечение сохранности существующей сети автомобильных дорог и безопасности дорожного движения»</t>
  </si>
  <si>
    <t xml:space="preserve">10 4 01 </t>
  </si>
  <si>
    <t>10 4 01 20570</t>
  </si>
  <si>
    <t>200; 800</t>
  </si>
  <si>
    <t>10 4 01 20360</t>
  </si>
  <si>
    <t>200; 600</t>
  </si>
  <si>
    <t>10 4 01 72140</t>
  </si>
  <si>
    <t>10 4 01 20580</t>
  </si>
  <si>
    <t>10 4 01 9Д060</t>
  </si>
  <si>
    <t>10 4 01 9Д070</t>
  </si>
  <si>
    <t>10 4 01 9Д410</t>
  </si>
  <si>
    <t>10 4 01 9Д080</t>
  </si>
  <si>
    <t>10 4 01 9Д090</t>
  </si>
  <si>
    <t>10 4 01 9Д100</t>
  </si>
  <si>
    <t>10 3 01 9Д090</t>
  </si>
  <si>
    <t>10 4 01 9Д110</t>
  </si>
  <si>
    <t>10 4 01 9Д180</t>
  </si>
  <si>
    <t>10 4 01 9Д120</t>
  </si>
  <si>
    <t>10 4 01 9Д130</t>
  </si>
  <si>
    <t>7.</t>
  </si>
  <si>
    <t>04 08, 10 03</t>
  </si>
  <si>
    <t xml:space="preserve">10 4 02 </t>
  </si>
  <si>
    <t>04 08</t>
  </si>
  <si>
    <t>10 4 02 73810</t>
  </si>
  <si>
    <t>10 4 02 73830</t>
  </si>
  <si>
    <t>10 03</t>
  </si>
  <si>
    <t>10 4 02 73850</t>
  </si>
  <si>
    <t>10 4 02 73860</t>
  </si>
  <si>
    <t xml:space="preserve">10 4 02 21340 </t>
  </si>
  <si>
    <t xml:space="preserve">10 4 02 2144Ф </t>
  </si>
  <si>
    <t>10 4 02 97001</t>
  </si>
  <si>
    <t>10 4 02 60420</t>
  </si>
  <si>
    <t>10 4 02 60430</t>
  </si>
  <si>
    <t>10 4 02 60520</t>
  </si>
  <si>
    <t>10 4 02 60480</t>
  </si>
  <si>
    <t>10 4 02 60440</t>
  </si>
  <si>
    <t>8.</t>
  </si>
  <si>
    <t>04 08, 04 09</t>
  </si>
  <si>
    <t xml:space="preserve">10 4 03 </t>
  </si>
  <si>
    <t>10 4 03 00190</t>
  </si>
  <si>
    <t>100,200,   800</t>
  </si>
  <si>
    <t>04 09</t>
  </si>
  <si>
    <t>10 4 03 00590</t>
  </si>
  <si>
    <t>100,200,   300,800</t>
  </si>
  <si>
    <t>10 4 03 9Д610</t>
  </si>
  <si>
    <t>Министр автомобильных дорог и транспорта Белгородской области</t>
  </si>
  <si>
    <t>С. Евтушенко</t>
  </si>
  <si>
    <t>II. Паспорт государственной программы Белгородской области «Совершенствование и развитие транспортной системы                                                                                                                                                                                                    и дорожной сети Белгородской области» (далее - государственная программа)</t>
  </si>
  <si>
    <t xml:space="preserve">2. Показатели государственной программы </t>
  </si>
  <si>
    <t>Наименование показателя</t>
  </si>
  <si>
    <t>Уровень показателя</t>
  </si>
  <si>
    <t>Признак возрастания               / убывания</t>
  </si>
  <si>
    <t>Единица измерения                (по ОКЕИ)</t>
  </si>
  <si>
    <t>Базовое значение</t>
  </si>
  <si>
    <t>Значения показателя по годам</t>
  </si>
  <si>
    <t>Документ</t>
  </si>
  <si>
    <t>Ответственный      за достижение показателя</t>
  </si>
  <si>
    <t>Связь с показателями национальных целей</t>
  </si>
  <si>
    <t>Связь                                      с показателями государственных программ Российской Федерации</t>
  </si>
  <si>
    <t>Признак "Участие  муниципального образования"</t>
  </si>
  <si>
    <t xml:space="preserve">Информационная система </t>
  </si>
  <si>
    <t>значение</t>
  </si>
  <si>
    <t>год</t>
  </si>
  <si>
    <t xml:space="preserve">     </t>
  </si>
  <si>
    <t xml:space="preserve">Обеспечение доли дорожной сети в крупнейших городских агломерациях, соответствующей нормативным требованиям, на уровне не менее 85 процентов  к 2030 году                                                </t>
  </si>
  <si>
    <t>Доля автомобильных дорог регионального                                        и межмуниципального значения, соответствующих нормативным требованиям</t>
  </si>
  <si>
    <t>ГП РФ, ГП</t>
  </si>
  <si>
    <t>Прогрессирую-щий</t>
  </si>
  <si>
    <t>Процент</t>
  </si>
  <si>
    <t xml:space="preserve">Указ Президента Российской Федерации       07 мая 2024 года № 309 </t>
  </si>
  <si>
    <t>Министерство автомобильных дорог                               и транспорта Белгородской области</t>
  </si>
  <si>
    <t>Увеличение к 2030 году доли соответствующих нормативным требованиям автомобильных дорог федерального значения     и дорог крупнейших городских агломераций не менее чем                               до 85 процентов, опорной сети автомобильных дорог -                                   не менее чем                     до 85 процентов, автомобильных дорог регионального                     или межмуниципального значения - не менее чем до 60 процентов</t>
  </si>
  <si>
    <t>Доля автомобильных дорог регионального                 и межмуниципального значения, соответствующих нормативным требованиям</t>
  </si>
  <si>
    <t xml:space="preserve"> - </t>
  </si>
  <si>
    <t>Доля дорожной сети городских агломераций, находящейся                                            в нормативном состоянии</t>
  </si>
  <si>
    <t>Министерство автомобильных дорог                                 и транспорта Белгородской области</t>
  </si>
  <si>
    <t>Доля дорожной сети городских агломераций, находящейся                    в нормативном состоянии</t>
  </si>
  <si>
    <t xml:space="preserve">  </t>
  </si>
  <si>
    <t xml:space="preserve">Количество погибших                                          в дорожно-транспортных происшествиях                          на 10 тысяч транспортных средств </t>
  </si>
  <si>
    <t>Регрессирую-щий</t>
  </si>
  <si>
    <t>Человек</t>
  </si>
  <si>
    <t xml:space="preserve">Обеспечение доли дорожной сети                           в крупнейших городских агломерациях, соответствующей нормативным требованиям, на уровне не менее                                                    85 процентов               </t>
  </si>
  <si>
    <t xml:space="preserve">Количество погибших                                        в дорожно-транспортных происшествиях                                       на 10 тысяч транспортных средств  </t>
  </si>
  <si>
    <t>Пассажирооборот автомобильным                                                                                и железнодорожным                                      (в пригородном сообщении)                      транспортом</t>
  </si>
  <si>
    <t>ГП</t>
  </si>
  <si>
    <t>Млн пасс.-км</t>
  </si>
  <si>
    <t>Постановление Правительства Белгородской области                                       от 13 февраля 2023 года                                           № 74-пп</t>
  </si>
  <si>
    <t>Транспортная подвижность населения</t>
  </si>
  <si>
    <t xml:space="preserve">Уровень показателя </t>
  </si>
  <si>
    <t>Единица измерения (по ОКЕИ)</t>
  </si>
  <si>
    <t>Плановые значения по кварталам / месяцам</t>
  </si>
  <si>
    <t>январь</t>
  </si>
  <si>
    <t>февраль</t>
  </si>
  <si>
    <t>март</t>
  </si>
  <si>
    <t>апрель</t>
  </si>
  <si>
    <t>май</t>
  </si>
  <si>
    <t>июнь</t>
  </si>
  <si>
    <t>июль</t>
  </si>
  <si>
    <t>август</t>
  </si>
  <si>
    <t>сентябрь</t>
  </si>
  <si>
    <t>октябрь</t>
  </si>
  <si>
    <t>ноябрь</t>
  </si>
  <si>
    <t>Доля автомобильных дорог регионального и межмуниципального значения, соответствующих нормативным требованиям</t>
  </si>
  <si>
    <t>Доля дорожной сети городских агломераций, находящейся                                                   в нормативном состоянии</t>
  </si>
  <si>
    <t xml:space="preserve">Количество погибших в дорожно-транспортных происшествиях                                     на 10 тысяч транспортных средств </t>
  </si>
  <si>
    <t xml:space="preserve">ГП </t>
  </si>
  <si>
    <t xml:space="preserve">      </t>
  </si>
  <si>
    <t>4. Структура государственной программы Белгородской области</t>
  </si>
  <si>
    <t>№                                     п/п</t>
  </si>
  <si>
    <t>Задачи структурного элемента</t>
  </si>
  <si>
    <t>Краткое описание ожидаемых эффектов от реализации задачи структурного элемента</t>
  </si>
  <si>
    <t>Связь с показателями</t>
  </si>
  <si>
    <t>Ответственный за реализацию: Евтушенко С.В. – министр автомобильных дорог и транспорта Белгородской области</t>
  </si>
  <si>
    <t>1.1.1.</t>
  </si>
  <si>
    <t xml:space="preserve">    </t>
  </si>
  <si>
    <t>1.1.2.</t>
  </si>
  <si>
    <t>1.2.1.</t>
  </si>
  <si>
    <t xml:space="preserve">1.3.1. </t>
  </si>
  <si>
    <t xml:space="preserve">Количество погибших в дорожно-транспортных происшествиях на 10 тысяч транспортных средств                                                                                                                       </t>
  </si>
  <si>
    <t>Срок реализации: 2024 – 2030 годы</t>
  </si>
  <si>
    <t>1.4.1.</t>
  </si>
  <si>
    <t xml:space="preserve">Обеспечение транспортной доступностью объектов, расположенных на сельских территориях, и объектов агропромышленного комплекса                                                                                                   </t>
  </si>
  <si>
    <t>1.5.</t>
  </si>
  <si>
    <t>Региональный проект «Содействие развитию автомобильных дорог регионального, межмуниципального и местного значения», не входящий в национальный проект</t>
  </si>
  <si>
    <t>Ответственный за реализацию Евтушенко С.В.- министр автомобильных дорог и транспорта Белгородской области</t>
  </si>
  <si>
    <r>
      <t xml:space="preserve">Срок реализации </t>
    </r>
    <r>
      <rPr>
        <sz val="12"/>
        <rFont val="Times New Roman"/>
        <family val="1"/>
        <charset val="204"/>
      </rPr>
      <t>(2024 - 2030 годы)</t>
    </r>
  </si>
  <si>
    <t>Ремонт автодорог регионального (межмуниципального) значения</t>
  </si>
  <si>
    <t xml:space="preserve"> Прирост протяженности автомобильных дорог общего пользования регионального (межмуниципального) и местного значения, соответствующих нормативным требованиям </t>
  </si>
  <si>
    <t>Ремонт автодорог местного значения</t>
  </si>
  <si>
    <t>1.5.1.</t>
  </si>
  <si>
    <t xml:space="preserve">Обеспечение автодорогами с твердым покрытием населенных пунктов и микрорайонов массовой жилищной застройки   </t>
  </si>
  <si>
    <t>1.6.</t>
  </si>
  <si>
    <t>Комплекс процессных мероприятий «Обеспечение сохранности существующей сети автомобильных дорог и безопасности дорожного движения»</t>
  </si>
  <si>
    <t xml:space="preserve"> Обеспечение сохранности существующей сети автомобильных дорог и безопасности дорожного движения     </t>
  </si>
  <si>
    <t>Доля автомобильных дорог регионального                                                                               и межмуниципального значения, соответствующих нормативным требованиям</t>
  </si>
  <si>
    <t>1.7.</t>
  </si>
  <si>
    <t>1.7.1.</t>
  </si>
  <si>
    <t>Создание условий для организации транспортного обслуживания населения</t>
  </si>
  <si>
    <t>Пассажирооборот автомобильным и железнодорожным                                      (в пригородном сообщении) транспортом</t>
  </si>
  <si>
    <t>1.8.</t>
  </si>
  <si>
    <t>Комплекс процессных мероприятий «Исполнение государственных функций исполнительным органом Белгородской области в сфере дорожной деятельности                                                    и организации транспортного обслуживания населения области»</t>
  </si>
  <si>
    <t>3. Помесячный план достижения показателей государственной программы в 2025 году</t>
  </si>
  <si>
    <t>На конец                                      2025 года</t>
  </si>
  <si>
    <t xml:space="preserve">Доля автомобильных дорог, входящих в опорную сеть, соответствующих нормативным требованиям                                                                                                 </t>
  </si>
  <si>
    <t>Снижена смертность в результате дорожно-транспортных происшествий в полтора раза к 2030 году по сравнению                                                       с показателем 2023 года</t>
  </si>
  <si>
    <t>Осуществлено строительство и реконструкция автомобильных дорог регионального или межмуниципального, местного значения и искусственных дорожных сооружений на них</t>
  </si>
  <si>
    <t xml:space="preserve">                                                                               от  _______________________ 2025 г.     </t>
  </si>
  <si>
    <t>Цифровизация дорожной и транспортной отрасли</t>
  </si>
  <si>
    <t xml:space="preserve">Доля автомобильных дорог регионального                                                                                                                и межмуниципального значения, соответствующих нормативным требованиям.                                                                                     Доля дорожной сети городских агломераций, находящейся                                        в нормативном состоянии                                                                                                            </t>
  </si>
  <si>
    <t>Доля автомобильных дорог регионального                                                               и межмуниципального значения, соответствующих нормативным требованиям</t>
  </si>
  <si>
    <t>Доля автомобильных дорог регионального                                                                                и межмуниципального значения, соответствующих нормативным требованиям.                                                                                            Пассажирооборот автомобильным и железнодорожным                                      (в пригородном сообщении) транспортом</t>
  </si>
  <si>
    <r>
      <t xml:space="preserve">Срок реализации: </t>
    </r>
    <r>
      <rPr>
        <sz val="12"/>
        <rFont val="Times New Roman"/>
        <family val="1"/>
        <charset val="204"/>
      </rPr>
      <t>2019* –  2024 годы</t>
    </r>
  </si>
  <si>
    <t xml:space="preserve">Повышено качество дорожной сети, в том числе уличной сети, городских агломераций      </t>
  </si>
  <si>
    <t>В соответствии с программой дорожной деятельности выполнены дорожные работы</t>
  </si>
  <si>
    <t>1.1.3.</t>
  </si>
  <si>
    <t>Повышение доли отечественного оборудования (товаров, работ, услуг) в общем объеме закупок</t>
  </si>
  <si>
    <t xml:space="preserve">Заключены контракты (доведены государственные задания учреждениям), предусматривающие закупку отечественного оборудования (товаров, работ, услуг) </t>
  </si>
  <si>
    <t>Срок реализации: 2019** – 2024 годы</t>
  </si>
  <si>
    <t>Повышена безопасность участников дорожного движения</t>
  </si>
  <si>
    <t>Доля дорожной сети городских агломераций, находящейся                          в нормативном состоянии</t>
  </si>
  <si>
    <t>Размещены автоматические пункты весогабаритного контроля транспортных средств.                                                                                                                           Произведена установка стационарных камер фотовидеофиксации нарушений правил дорожного движения.                                                                                                                                               Осуществлено внедрение интеллектуальных транспортных систем, предусматривающих автоматизацию процессов управления дорожным движением в городских  агломерациях</t>
  </si>
  <si>
    <t>Осуществлены мероприятия по дорожной деятельности                                    в отношении автомобильных дорог общего пользования регионального или межмуниципального, местного значения                                     и искусственных сооружений на них</t>
  </si>
  <si>
    <t>Приведены в нормативное состояние/построены искусственные сооружения на автомобильных дорогах регионального                                                       или межмуниципального и местного значения</t>
  </si>
  <si>
    <t>Приведены в нормативное состояние автомобильные дороги регионального или межмуниципального, местного значения                                        и искусственные дорожные сооружения на них, а также дорожная сеть городских агломераций</t>
  </si>
  <si>
    <t>Организовано проведение системной работы с использованием ресурсов детско-юношеских объединений различных форм,                                            в том числе посредством проведения слетов, конкурсов, викторин, смотров, соревнований по различным вопросам безопасности движения.                                                                    Осуществлено учебно-методическое                                                                                                           и материально-техническое обеспечение процесса обучения детей основам безопасного поведения на дорогах</t>
  </si>
  <si>
    <t>Выполнено строительство (ремонт) автомобильных дорог                 к объектам, расположенным на сельских территориях</t>
  </si>
  <si>
    <t xml:space="preserve">Выполнены мероприятия по строительству (реконструкция) автомобильных дорог и искусственных сооружений на них </t>
  </si>
  <si>
    <t>Выполнены мероприятия по содержанию, ремонту                              и капитальному ремонту автомобильных дорог регионального значения и исусственных сооружений на них</t>
  </si>
  <si>
    <t>Выполнен комплекс мероприятий по организации транспортного обслуживания населения автомобильным              и железнодорожным транспортом</t>
  </si>
  <si>
    <t>Осуществлены закупки товаров, работ и услуг для обеспечения функций министерства автомобильных дорог и транспорта Белгородской области, заключены государственные контракты на выполнение мероприятий в сфере дорожной деятельности                 и пассажирских перевозок</t>
  </si>
  <si>
    <t>Распоряжение МВД России                                 от 25 сентября 2024 года                                № 1/11343</t>
  </si>
  <si>
    <t>**  Реализация регионального проекта до 2024 года осуществлялась в рамках государственной программы Белгородской области «Обеспечение безопасности жизнедеятельности населения и территорий Белгородской области», утвержденной постановлением Правительства Белгородской области от 28 октября 2013 года № 442-пп.</t>
  </si>
  <si>
    <t>*  Реализация регионального проекта до 2024 года осуществлялась в рамках государственной программы Белгородской области «Совершенствование и развитие транспортной системы и дорожной сети Белгородской области», утвержденной постановлением Правительства Белгородской области от 28 октября 2013 года № 440-пп.</t>
  </si>
  <si>
    <t xml:space="preserve">1.11.2. </t>
  </si>
  <si>
    <t xml:space="preserve">1.11.1. </t>
  </si>
  <si>
    <t>1.11.</t>
  </si>
  <si>
    <t>1.10.1.</t>
  </si>
  <si>
    <t>1.10.</t>
  </si>
  <si>
    <t>1.9.1.</t>
  </si>
  <si>
    <t>1.9.</t>
  </si>
  <si>
    <t>1.8.1.</t>
  </si>
  <si>
    <t xml:space="preserve">1.6.1. </t>
  </si>
  <si>
    <t>Региональный проект «Безопасность дорожного движения», входящий в национальный проект «Инфраструктура для жизни»</t>
  </si>
  <si>
    <t xml:space="preserve">Региональный проект «Общесистемные меры развития дорожного хозяйства», входящий в национальный проект «Инфраструктура для жизни» </t>
  </si>
  <si>
    <t>1.4.2.</t>
  </si>
  <si>
    <t xml:space="preserve">Региональный проект «Региональная и местная дорожная сеть», входящий в национальный проект «Инфраструктура для жизни» </t>
  </si>
  <si>
    <t>Региональный проект «Безопасность дорожного движения», входящий в национальный проект «Безопасные качественные дороги»</t>
  </si>
  <si>
    <t>Региональный проект «Общесистемные меры развития дорожного хозяйства», входящий в национальный проект «Безопасные качественные дороги»</t>
  </si>
  <si>
    <t>Региональный проект «Региональная и местная дорожная сеть», входящий в национальный проект «Безопасные качественные дороги»</t>
  </si>
  <si>
    <t>Куратор: Базаров В.В. – заместитель Губернатора Белгородской области</t>
  </si>
  <si>
    <t>Бюджеты муниципальных образований</t>
  </si>
  <si>
    <r>
      <t xml:space="preserve">Срок реализации: </t>
    </r>
    <r>
      <rPr>
        <sz val="12"/>
        <rFont val="Times New Roman"/>
        <family val="1"/>
        <charset val="204"/>
      </rPr>
      <t>2025 –  2030 годы</t>
    </r>
  </si>
  <si>
    <t>Срок реализации: 2025 – 2030 годы</t>
  </si>
  <si>
    <t xml:space="preserve">                     II.  Паспорт государственной программы Белгородской области «Совершенствование и развитие транспортной системы                                     и дорожной сети Белгородской области» (далее –  государственная программа)</t>
  </si>
  <si>
    <t>Зайнуллин Р.Ш. –  заместитель Губернатора Белгородской области –  министр имущественных                                                                и земельных отношений Белгородской области</t>
  </si>
  <si>
    <t xml:space="preserve">Доля автомобильных дорог регионального                                                             и межмуниципального значения, соответствующих нормативным требованиям.                                                                                     Доля дорожной сети городских агломераций, находящейся                     в нормативном состоянии                                                                                                            </t>
  </si>
  <si>
    <t xml:space="preserve">Доля автомобильных дорог регионального                                          и межмуниципального значения, соответствующих нормативным требованиям.                                                                                     Доля дорожной сети городских агломераций, находящейся                    в нормативном состоянии                                                                                                            </t>
  </si>
  <si>
    <t>Куратор: Зайнуллин Р.Ш. – заместитель Губернатора Белгородской области – министр имущественных и земельных отношений Белгородской области</t>
  </si>
  <si>
    <t xml:space="preserve">Повышено качество дорожной сети, в том числе доведено                   до нормативного состояния 60 процентов региональных дорог                                                        и 85 процентов дорог крупнейших городских агломераций       </t>
  </si>
  <si>
    <t>Доведено до нормативного состояния 85 процентов опорной сети,                         в том числе за счет строительства и реконструкции автомобильных дорог и искусственных сооружений</t>
  </si>
  <si>
    <t>Созданы условия для вовлечения детей и молодежи                          в деятельность по профилактике дорожно-транспортного травматизма, включая развитие детско-юношеских автошкол, отрядов юных инспекторов движения и прочее.                                                                                      Обеспечена организация и проведение региональных профильных смен по безопасности дорожного движения                                                                   в организациях отдыха детей и их оздоровления.                                                              Организована системная работа с родителями по обучению детей основам правил дорожного движения и привитию                         им навыков безопасного поведения на дорогах, обеспечению безопасности детей при перевозках в транспортных средствах</t>
  </si>
  <si>
    <t>Размещены автоматические пункты весогабаритного контроля транспортных средств на автомобильных дорогах регионального или межмуниципального,местного значения.                                                                                                    Установлены стационарные камеры фотовидеофиксации нарушений правил дорожного движения на автомобильных дорогах федерального, регионального или межмуниципального, местного значения.                                                                                     Внедрены интеллектуальные транспортные системы, предусматривающие автоматизацию процессов управления дорожным движением в городских агломерациях, включающих города с населением свыше 300 тысяч человек</t>
  </si>
  <si>
    <t>Обеспечение деятельности и выполнение функций министерства автомобильных дорог и транспорта Белгородской области</t>
  </si>
  <si>
    <t>Обеспечение достижений показателей областных государственных казенных учреждений в сфере дорожной деятельности                                                                 и  пассажирских перевозок</t>
  </si>
  <si>
    <t>Совершенствование регуляторной политики и применения новых технологий в дорожной отрасли</t>
  </si>
</sst>
</file>

<file path=xl/styles.xml><?xml version="1.0" encoding="utf-8"?>
<styleSheet xmlns="http://schemas.openxmlformats.org/spreadsheetml/2006/main">
  <numFmts count="2">
    <numFmt numFmtId="164" formatCode="#,##0.0"/>
    <numFmt numFmtId="165" formatCode="0.0"/>
  </numFmts>
  <fonts count="36">
    <font>
      <sz val="11"/>
      <color theme="1"/>
      <name val="Calibri"/>
      <family val="2"/>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u/>
      <sz val="11"/>
      <color theme="10"/>
      <name val="Calibri"/>
      <family val="2"/>
      <charset val="1"/>
    </font>
    <font>
      <u/>
      <sz val="11"/>
      <color theme="10"/>
      <name val="Calibri"/>
      <family val="2"/>
      <charset val="204"/>
    </font>
    <font>
      <sz val="11"/>
      <color theme="1"/>
      <name val="Calibri"/>
      <family val="2"/>
      <charset val="1"/>
    </font>
    <font>
      <sz val="10"/>
      <name val="Arial"/>
      <family val="2"/>
      <charset val="204"/>
    </font>
    <font>
      <sz val="12"/>
      <color theme="1"/>
      <name val="Times New Roman"/>
      <family val="1"/>
      <charset val="204"/>
    </font>
    <font>
      <u/>
      <sz val="12"/>
      <color theme="10"/>
      <name val="Times New Roman"/>
      <family val="1"/>
      <charset val="204"/>
    </font>
    <font>
      <b/>
      <sz val="12"/>
      <color theme="1"/>
      <name val="Times New Roman"/>
      <family val="1"/>
      <charset val="204"/>
    </font>
    <font>
      <b/>
      <sz val="13"/>
      <color theme="1"/>
      <name val="Times New Roman"/>
      <family val="1"/>
      <charset val="204"/>
    </font>
    <font>
      <b/>
      <sz val="14"/>
      <color theme="1"/>
      <name val="Times New Roman"/>
      <family val="1"/>
      <charset val="204"/>
    </font>
    <font>
      <sz val="12"/>
      <name val="Times New Roman"/>
      <family val="1"/>
      <charset val="204"/>
    </font>
    <font>
      <b/>
      <sz val="14"/>
      <name val="Times New Roman"/>
      <family val="1"/>
      <charset val="204"/>
    </font>
    <font>
      <b/>
      <sz val="16"/>
      <color theme="1"/>
      <name val="Times New Roman"/>
      <family val="1"/>
      <charset val="204"/>
    </font>
    <font>
      <sz val="12"/>
      <color theme="1"/>
      <name val="Calibri"/>
      <family val="2"/>
      <charset val="204"/>
    </font>
    <font>
      <sz val="12"/>
      <color theme="0"/>
      <name val="Times New Roman"/>
      <family val="1"/>
      <charset val="204"/>
    </font>
    <font>
      <sz val="12"/>
      <color rgb="FFFF0000"/>
      <name val="Times New Roman"/>
      <family val="1"/>
      <charset val="204"/>
    </font>
    <font>
      <b/>
      <sz val="14"/>
      <color theme="0"/>
      <name val="Times New Roman"/>
      <family val="1"/>
      <charset val="204"/>
    </font>
    <font>
      <sz val="11"/>
      <color theme="1"/>
      <name val="Calibri"/>
      <family val="2"/>
      <charset val="204"/>
    </font>
    <font>
      <b/>
      <sz val="13"/>
      <name val="Times New Roman"/>
      <family val="1"/>
      <charset val="204"/>
    </font>
    <font>
      <sz val="13"/>
      <name val="Times New Roman"/>
      <family val="1"/>
      <charset val="204"/>
    </font>
    <font>
      <sz val="13"/>
      <color theme="1"/>
      <name val="Times New Roman"/>
      <family val="1"/>
      <charset val="204"/>
    </font>
    <font>
      <i/>
      <sz val="12"/>
      <color theme="1"/>
      <name val="Times New Roman"/>
      <family val="1"/>
      <charset val="204"/>
    </font>
    <font>
      <sz val="13"/>
      <color rgb="FF000000"/>
      <name val="Times New Roman"/>
      <family val="1"/>
      <charset val="204"/>
    </font>
    <font>
      <u/>
      <sz val="11"/>
      <color theme="10"/>
      <name val="Calibri"/>
      <family val="2"/>
      <charset val="204"/>
      <scheme val="minor"/>
    </font>
    <font>
      <b/>
      <sz val="12"/>
      <name val="Times New Roman"/>
      <family val="1"/>
      <charset val="204"/>
    </font>
    <font>
      <sz val="12"/>
      <color rgb="FF000000"/>
      <name val="Times New Roman"/>
      <family val="1"/>
      <charset val="204"/>
    </font>
    <font>
      <sz val="11"/>
      <color theme="1"/>
      <name val="Calibri"/>
      <family val="2"/>
      <scheme val="minor"/>
    </font>
    <font>
      <u/>
      <sz val="11"/>
      <color theme="10"/>
      <name val="Calibri"/>
      <family val="2"/>
      <scheme val="minor"/>
    </font>
    <font>
      <b/>
      <sz val="12"/>
      <color rgb="FF000000"/>
      <name val="Times New Roman"/>
      <family val="1"/>
      <charset val="204"/>
    </font>
    <font>
      <sz val="11"/>
      <color theme="1"/>
      <name val="Calibri"/>
      <family val="2"/>
      <charset val="204"/>
    </font>
    <font>
      <sz val="11.5"/>
      <color theme="1"/>
      <name val="Times New Roman"/>
      <family val="1"/>
      <charset val="204"/>
    </font>
    <font>
      <sz val="11.8"/>
      <name val="Times New Roman"/>
      <family val="1"/>
      <charset val="204"/>
    </font>
    <font>
      <b/>
      <sz val="11"/>
      <name val="Times New Roman"/>
      <family val="1"/>
      <charset val="204"/>
    </font>
  </fonts>
  <fills count="5">
    <fill>
      <patternFill patternType="none"/>
    </fill>
    <fill>
      <patternFill patternType="gray125"/>
    </fill>
    <fill>
      <patternFill patternType="solid">
        <fgColor theme="0"/>
      </patternFill>
    </fill>
    <fill>
      <patternFill patternType="solid">
        <fgColor rgb="FFFFFFFF"/>
        <bgColor indexed="64"/>
      </patternFill>
    </fill>
    <fill>
      <patternFill patternType="solid">
        <fgColor rgb="FFFFFF00"/>
        <bgColor indexed="64"/>
      </patternFill>
    </fill>
  </fills>
  <borders count="2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bottom/>
      <diagonal/>
    </border>
    <border>
      <left/>
      <right/>
      <top style="thin">
        <color auto="1"/>
      </top>
      <bottom style="thin">
        <color auto="1"/>
      </bottom>
      <diagonal/>
    </border>
    <border>
      <left style="thin">
        <color indexed="64"/>
      </left>
      <right/>
      <top style="thin">
        <color indexed="64"/>
      </top>
      <bottom/>
      <diagonal/>
    </border>
    <border>
      <left/>
      <right style="thin">
        <color rgb="FF000000"/>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style="thin">
        <color rgb="FF000000"/>
      </right>
      <top style="thin">
        <color indexed="64"/>
      </top>
      <bottom/>
      <diagonal/>
    </border>
    <border>
      <left style="thin">
        <color rgb="FF000000"/>
      </left>
      <right style="thin">
        <color rgb="FF000000"/>
      </right>
      <top style="thin">
        <color indexed="64"/>
      </top>
      <bottom/>
      <diagonal/>
    </border>
    <border>
      <left style="thin">
        <color indexed="64"/>
      </left>
      <right style="thin">
        <color rgb="FF000000"/>
      </right>
      <top/>
      <bottom style="thin">
        <color indexed="64"/>
      </bottom>
      <diagonal/>
    </border>
    <border>
      <left style="thin">
        <color rgb="FF000000"/>
      </left>
      <right style="thin">
        <color rgb="FF000000"/>
      </right>
      <top/>
      <bottom style="thin">
        <color indexed="64"/>
      </bottom>
      <diagonal/>
    </border>
    <border>
      <left style="thin">
        <color rgb="FF000000"/>
      </left>
      <right style="thin">
        <color indexed="64"/>
      </right>
      <top style="thin">
        <color rgb="FF000000"/>
      </top>
      <bottom style="thin">
        <color rgb="FF000000"/>
      </bottom>
      <diagonal/>
    </border>
    <border>
      <left style="thin">
        <color rgb="FF000000"/>
      </left>
      <right style="thin">
        <color rgb="FF000000"/>
      </right>
      <top/>
      <bottom/>
      <diagonal/>
    </border>
    <border>
      <left style="thin">
        <color indexed="64"/>
      </left>
      <right style="thin">
        <color rgb="FF000000"/>
      </right>
      <top style="thin">
        <color auto="1"/>
      </top>
      <bottom style="thin">
        <color indexed="64"/>
      </bottom>
      <diagonal/>
    </border>
    <border>
      <left/>
      <right style="thin">
        <color rgb="FF000000"/>
      </right>
      <top style="thin">
        <color auto="1"/>
      </top>
      <bottom style="thin">
        <color indexed="64"/>
      </bottom>
      <diagonal/>
    </border>
  </borders>
  <cellStyleXfs count="19">
    <xf numFmtId="0" fontId="0" fillId="0" borderId="0"/>
    <xf numFmtId="0" fontId="5" fillId="0" borderId="0" applyBorder="0" applyProtection="0"/>
    <xf numFmtId="0" fontId="4" fillId="0" borderId="0" applyBorder="0" applyProtection="0"/>
    <xf numFmtId="0" fontId="5" fillId="0" borderId="0" applyBorder="0" applyProtection="0"/>
    <xf numFmtId="0" fontId="5" fillId="0" borderId="0" applyBorder="0" applyProtection="0"/>
    <xf numFmtId="0" fontId="6" fillId="0" borderId="0"/>
    <xf numFmtId="0" fontId="20" fillId="0" borderId="0"/>
    <xf numFmtId="0" fontId="20" fillId="0" borderId="0"/>
    <xf numFmtId="0" fontId="20" fillId="0" borderId="0"/>
    <xf numFmtId="0" fontId="7" fillId="0" borderId="0"/>
    <xf numFmtId="0" fontId="3" fillId="0" borderId="0"/>
    <xf numFmtId="0" fontId="26" fillId="0" borderId="0" applyNumberFormat="0" applyFill="0" applyBorder="0" applyAlignment="0" applyProtection="0"/>
    <xf numFmtId="0" fontId="29" fillId="0" borderId="0"/>
    <xf numFmtId="0" fontId="30" fillId="0" borderId="0" applyNumberFormat="0" applyFill="0" applyBorder="0" applyAlignment="0" applyProtection="0"/>
    <xf numFmtId="0" fontId="32" fillId="0" borderId="0"/>
    <xf numFmtId="0" fontId="2" fillId="0" borderId="0"/>
    <xf numFmtId="0" fontId="1" fillId="0" borderId="0"/>
    <xf numFmtId="0" fontId="20" fillId="0" borderId="0"/>
    <xf numFmtId="0" fontId="1" fillId="0" borderId="0"/>
  </cellStyleXfs>
  <cellXfs count="260">
    <xf numFmtId="0" fontId="0" fillId="0" borderId="0" xfId="0"/>
    <xf numFmtId="0" fontId="8" fillId="0" borderId="0" xfId="0" applyFont="1" applyAlignment="1" applyProtection="1">
      <alignment vertical="top" wrapText="1"/>
    </xf>
    <xf numFmtId="0" fontId="9" fillId="0" borderId="0" xfId="1" applyFont="1" applyBorder="1" applyAlignment="1" applyProtection="1">
      <alignment vertical="top" wrapText="1"/>
    </xf>
    <xf numFmtId="0" fontId="10" fillId="0" borderId="0" xfId="0" applyFont="1" applyAlignment="1" applyProtection="1">
      <alignment horizontal="center" wrapText="1"/>
    </xf>
    <xf numFmtId="0" fontId="12" fillId="0" borderId="0" xfId="0" applyFont="1" applyAlignment="1" applyProtection="1">
      <alignment horizontal="center" vertical="center" wrapText="1"/>
    </xf>
    <xf numFmtId="0" fontId="10" fillId="0" borderId="1" xfId="0" applyFont="1" applyBorder="1" applyAlignment="1" applyProtection="1">
      <alignment horizontal="center" vertical="top" wrapText="1"/>
    </xf>
    <xf numFmtId="0" fontId="8" fillId="0" borderId="2" xfId="0" applyFont="1" applyBorder="1" applyAlignment="1" applyProtection="1">
      <alignment vertical="center" wrapText="1"/>
    </xf>
    <xf numFmtId="0" fontId="8" fillId="0" borderId="2" xfId="0" applyFont="1" applyBorder="1" applyAlignment="1" applyProtection="1">
      <alignment horizontal="left" vertical="center" wrapText="1"/>
    </xf>
    <xf numFmtId="0" fontId="8" fillId="0" borderId="2" xfId="0" applyFont="1" applyBorder="1" applyAlignment="1" applyProtection="1">
      <alignment horizontal="center" vertical="center" wrapText="1"/>
    </xf>
    <xf numFmtId="164" fontId="8" fillId="0" borderId="2" xfId="0" applyNumberFormat="1" applyFont="1" applyBorder="1" applyAlignment="1" applyProtection="1">
      <alignment horizontal="center" vertical="top" wrapText="1"/>
    </xf>
    <xf numFmtId="0" fontId="8" fillId="0" borderId="3" xfId="0" applyFont="1" applyBorder="1" applyAlignment="1" applyProtection="1">
      <alignment vertical="center" wrapText="1"/>
    </xf>
    <xf numFmtId="164" fontId="8" fillId="0" borderId="2" xfId="0" applyNumberFormat="1" applyFont="1" applyBorder="1" applyAlignment="1" applyProtection="1">
      <alignment horizontal="center" vertical="center" wrapText="1"/>
    </xf>
    <xf numFmtId="0" fontId="8" fillId="0" borderId="2" xfId="0" applyFont="1" applyBorder="1" applyAlignment="1" applyProtection="1">
      <alignment vertical="top" wrapText="1"/>
    </xf>
    <xf numFmtId="0" fontId="8" fillId="0" borderId="0" xfId="0" applyFont="1" applyAlignment="1" applyProtection="1"/>
    <xf numFmtId="0" fontId="9" fillId="0" borderId="0" xfId="1" applyFont="1" applyBorder="1" applyAlignment="1" applyProtection="1">
      <alignment vertical="top"/>
    </xf>
    <xf numFmtId="0" fontId="12" fillId="0" borderId="0" xfId="0" applyFont="1" applyBorder="1" applyAlignment="1" applyProtection="1">
      <alignment horizontal="center" vertical="center" wrapText="1"/>
    </xf>
    <xf numFmtId="0" fontId="10" fillId="0" borderId="0" xfId="0" applyFont="1" applyBorder="1" applyAlignment="1" applyProtection="1">
      <alignment horizontal="center" vertical="top"/>
    </xf>
    <xf numFmtId="0" fontId="8" fillId="0" borderId="0" xfId="0" applyFont="1" applyBorder="1" applyAlignment="1" applyProtection="1">
      <alignment horizontal="right" vertical="top"/>
    </xf>
    <xf numFmtId="0" fontId="8" fillId="0" borderId="2" xfId="0" applyFont="1" applyBorder="1" applyAlignment="1" applyProtection="1">
      <alignment horizontal="center" vertical="center"/>
    </xf>
    <xf numFmtId="0" fontId="8" fillId="0" borderId="2" xfId="0" applyFont="1" applyBorder="1" applyAlignment="1" applyProtection="1">
      <alignment horizontal="center" vertical="top" wrapText="1"/>
    </xf>
    <xf numFmtId="0" fontId="8" fillId="0" borderId="2" xfId="0" applyFont="1" applyBorder="1" applyAlignment="1" applyProtection="1">
      <alignment vertical="top"/>
    </xf>
    <xf numFmtId="164" fontId="8" fillId="0" borderId="4" xfId="0" applyNumberFormat="1" applyFont="1" applyBorder="1" applyAlignment="1" applyProtection="1">
      <alignment horizontal="center" vertical="center" wrapText="1"/>
    </xf>
    <xf numFmtId="164" fontId="8" fillId="0" borderId="2" xfId="0" applyNumberFormat="1" applyFont="1" applyBorder="1" applyAlignment="1" applyProtection="1">
      <alignment horizontal="center" vertical="center"/>
    </xf>
    <xf numFmtId="164" fontId="8" fillId="0" borderId="4" xfId="0" applyNumberFormat="1" applyFont="1" applyBorder="1" applyAlignment="1" applyProtection="1">
      <alignment horizontal="center" vertical="center"/>
    </xf>
    <xf numFmtId="0" fontId="8" fillId="0" borderId="4" xfId="0" applyFont="1" applyBorder="1" applyAlignment="1" applyProtection="1">
      <alignment horizontal="center" vertical="top" wrapText="1"/>
    </xf>
    <xf numFmtId="165" fontId="8" fillId="0" borderId="2" xfId="0" applyNumberFormat="1" applyFont="1" applyBorder="1" applyAlignment="1" applyProtection="1">
      <alignment horizontal="center" vertical="top" wrapText="1"/>
    </xf>
    <xf numFmtId="0" fontId="16" fillId="0" borderId="0" xfId="0" applyFont="1" applyAlignment="1" applyProtection="1"/>
    <xf numFmtId="164" fontId="17" fillId="0" borderId="0" xfId="0" applyNumberFormat="1" applyFont="1" applyAlignment="1" applyProtection="1"/>
    <xf numFmtId="164" fontId="10" fillId="0" borderId="2" xfId="0" applyNumberFormat="1" applyFont="1" applyBorder="1" applyAlignment="1" applyProtection="1">
      <alignment horizontal="center" vertical="center" wrapText="1"/>
    </xf>
    <xf numFmtId="0" fontId="8" fillId="0" borderId="0" xfId="0" applyFont="1" applyAlignment="1" applyProtection="1">
      <alignment horizontal="right"/>
    </xf>
    <xf numFmtId="3" fontId="8" fillId="0" borderId="5" xfId="0" applyNumberFormat="1" applyFont="1" applyBorder="1" applyAlignment="1" applyProtection="1">
      <alignment horizontal="center" vertical="center" wrapText="1"/>
    </xf>
    <xf numFmtId="164" fontId="8" fillId="0" borderId="0" xfId="0" applyNumberFormat="1" applyFont="1" applyAlignment="1" applyProtection="1"/>
    <xf numFmtId="164" fontId="18" fillId="0" borderId="0" xfId="0" applyNumberFormat="1" applyFont="1" applyAlignment="1" applyProtection="1"/>
    <xf numFmtId="164" fontId="8" fillId="0" borderId="6" xfId="0" applyNumberFormat="1" applyFont="1" applyBorder="1" applyAlignment="1" applyProtection="1">
      <alignment horizontal="center" vertical="center" wrapText="1"/>
    </xf>
    <xf numFmtId="164" fontId="8" fillId="0" borderId="3" xfId="0" applyNumberFormat="1" applyFont="1" applyBorder="1" applyAlignment="1" applyProtection="1">
      <alignment horizontal="center" vertical="center" wrapText="1"/>
    </xf>
    <xf numFmtId="164" fontId="8" fillId="0" borderId="5" xfId="0" applyNumberFormat="1" applyFont="1" applyBorder="1" applyAlignment="1" applyProtection="1">
      <alignment horizontal="center" vertical="center" wrapText="1"/>
    </xf>
    <xf numFmtId="0" fontId="13" fillId="0" borderId="2" xfId="6" applyFont="1" applyBorder="1" applyAlignment="1" applyProtection="1">
      <alignment horizontal="center" vertical="center" wrapText="1"/>
    </xf>
    <xf numFmtId="3" fontId="13" fillId="0" borderId="2" xfId="6" applyNumberFormat="1" applyFont="1" applyBorder="1" applyAlignment="1" applyProtection="1">
      <alignment horizontal="center" vertical="center"/>
    </xf>
    <xf numFmtId="164" fontId="8" fillId="0" borderId="2" xfId="6" applyNumberFormat="1" applyFont="1" applyBorder="1" applyAlignment="1" applyProtection="1">
      <alignment horizontal="center" vertical="center" wrapText="1"/>
    </xf>
    <xf numFmtId="4" fontId="8" fillId="0" borderId="2" xfId="6" applyNumberFormat="1" applyFont="1" applyBorder="1" applyAlignment="1" applyProtection="1">
      <alignment horizontal="center" vertical="center" wrapText="1"/>
    </xf>
    <xf numFmtId="4" fontId="8" fillId="0" borderId="4" xfId="6" applyNumberFormat="1" applyFont="1" applyBorder="1" applyAlignment="1" applyProtection="1">
      <alignment horizontal="center" vertical="center" wrapText="1"/>
    </xf>
    <xf numFmtId="0" fontId="13" fillId="0" borderId="5" xfId="6" applyFont="1" applyBorder="1" applyAlignment="1" applyProtection="1">
      <alignment horizontal="center" vertical="center" wrapText="1"/>
    </xf>
    <xf numFmtId="164" fontId="13" fillId="0" borderId="4" xfId="0" applyNumberFormat="1" applyFont="1" applyBorder="1" applyAlignment="1" applyProtection="1">
      <alignment horizontal="center" vertical="center"/>
    </xf>
    <xf numFmtId="164" fontId="13" fillId="0" borderId="2" xfId="6" applyNumberFormat="1" applyFont="1" applyBorder="1" applyAlignment="1" applyProtection="1">
      <alignment horizontal="center" vertical="center"/>
    </xf>
    <xf numFmtId="4" fontId="13" fillId="0" borderId="2" xfId="6" applyNumberFormat="1" applyFont="1" applyBorder="1" applyAlignment="1" applyProtection="1">
      <alignment horizontal="center" vertical="center"/>
    </xf>
    <xf numFmtId="0" fontId="8" fillId="0" borderId="2" xfId="0" applyFont="1" applyBorder="1" applyAlignment="1" applyProtection="1">
      <alignment vertical="center"/>
    </xf>
    <xf numFmtId="4" fontId="8" fillId="0" borderId="4" xfId="0" applyNumberFormat="1" applyFont="1" applyBorder="1" applyAlignment="1" applyProtection="1">
      <alignment horizontal="center" vertical="center" wrapText="1"/>
    </xf>
    <xf numFmtId="164" fontId="13" fillId="0" borderId="0" xfId="9" applyNumberFormat="1" applyFont="1" applyBorder="1" applyAlignment="1" applyProtection="1">
      <alignment horizontal="center" vertical="center"/>
    </xf>
    <xf numFmtId="0" fontId="8" fillId="0" borderId="2" xfId="0" applyFont="1" applyBorder="1" applyAlignment="1" applyProtection="1">
      <alignment horizontal="left" vertical="center" wrapText="1" indent="2"/>
    </xf>
    <xf numFmtId="0" fontId="8" fillId="0" borderId="2" xfId="0" applyFont="1" applyBorder="1" applyAlignment="1" applyProtection="1">
      <alignment horizontal="left" vertical="center" wrapText="1" indent="4"/>
    </xf>
    <xf numFmtId="0" fontId="8" fillId="0" borderId="6" xfId="0" applyFont="1" applyBorder="1" applyAlignment="1" applyProtection="1">
      <alignment horizontal="center" vertical="center" wrapText="1"/>
    </xf>
    <xf numFmtId="0" fontId="8" fillId="0" borderId="7" xfId="0" applyFont="1" applyBorder="1" applyAlignment="1" applyProtection="1">
      <alignment horizontal="center" vertical="center" wrapText="1"/>
    </xf>
    <xf numFmtId="0" fontId="8" fillId="0" borderId="3" xfId="0" applyFont="1" applyBorder="1" applyAlignment="1" applyProtection="1">
      <alignment horizontal="left" vertical="center" wrapText="1" indent="2"/>
    </xf>
    <xf numFmtId="164" fontId="8" fillId="0" borderId="3" xfId="5" applyNumberFormat="1" applyFont="1" applyBorder="1" applyAlignment="1" applyProtection="1">
      <alignment horizontal="center" vertical="center" wrapText="1"/>
    </xf>
    <xf numFmtId="0" fontId="10" fillId="0" borderId="2" xfId="0" applyFont="1" applyBorder="1" applyAlignment="1" applyProtection="1">
      <alignment horizontal="center" vertical="center"/>
    </xf>
    <xf numFmtId="0" fontId="8" fillId="0" borderId="5" xfId="0" applyFont="1" applyBorder="1" applyAlignment="1" applyProtection="1">
      <alignment vertical="center" wrapText="1"/>
    </xf>
    <xf numFmtId="0" fontId="8" fillId="0" borderId="4" xfId="6" applyFont="1" applyBorder="1" applyAlignment="1" applyProtection="1">
      <alignment vertical="center"/>
    </xf>
    <xf numFmtId="0" fontId="8" fillId="0" borderId="2" xfId="6" applyFont="1" applyBorder="1" applyAlignment="1" applyProtection="1"/>
    <xf numFmtId="0" fontId="8" fillId="0" borderId="4" xfId="6" applyFont="1" applyBorder="1" applyAlignment="1" applyProtection="1"/>
    <xf numFmtId="164" fontId="10" fillId="0" borderId="0" xfId="0" applyNumberFormat="1" applyFont="1" applyAlignment="1" applyProtection="1"/>
    <xf numFmtId="164" fontId="13" fillId="0" borderId="2" xfId="0" applyNumberFormat="1" applyFont="1" applyBorder="1" applyAlignment="1" applyProtection="1">
      <alignment horizontal="center" vertical="center"/>
    </xf>
    <xf numFmtId="164" fontId="13" fillId="0" borderId="2" xfId="5" applyNumberFormat="1" applyFont="1" applyBorder="1" applyAlignment="1" applyProtection="1">
      <alignment horizontal="center" vertical="center"/>
    </xf>
    <xf numFmtId="164" fontId="13" fillId="0" borderId="4" xfId="5" applyNumberFormat="1" applyFont="1" applyBorder="1" applyAlignment="1" applyProtection="1">
      <alignment horizontal="center" vertical="center"/>
    </xf>
    <xf numFmtId="164" fontId="8" fillId="0" borderId="2" xfId="5" applyNumberFormat="1" applyFont="1" applyBorder="1" applyAlignment="1" applyProtection="1">
      <alignment horizontal="center" vertical="center" wrapText="1"/>
    </xf>
    <xf numFmtId="164" fontId="8" fillId="0" borderId="4" xfId="6" applyNumberFormat="1" applyFont="1" applyBorder="1" applyAlignment="1" applyProtection="1">
      <alignment horizontal="center" vertical="center" wrapText="1"/>
    </xf>
    <xf numFmtId="49" fontId="13" fillId="0" borderId="2" xfId="0" applyNumberFormat="1" applyFont="1" applyBorder="1" applyAlignment="1" applyProtection="1">
      <alignment horizontal="center" vertical="center" wrapText="1"/>
    </xf>
    <xf numFmtId="164" fontId="8" fillId="0" borderId="9" xfId="0" applyNumberFormat="1" applyFont="1" applyBorder="1" applyAlignment="1" applyProtection="1">
      <alignment horizontal="center" vertical="center" wrapText="1"/>
    </xf>
    <xf numFmtId="164" fontId="13" fillId="0" borderId="2" xfId="0" applyNumberFormat="1" applyFont="1" applyBorder="1" applyAlignment="1" applyProtection="1">
      <alignment horizontal="center" vertical="center" wrapText="1"/>
    </xf>
    <xf numFmtId="0" fontId="8" fillId="0" borderId="2" xfId="0" applyFont="1" applyBorder="1" applyAlignment="1" applyProtection="1"/>
    <xf numFmtId="0" fontId="19" fillId="0" borderId="0" xfId="0" applyFont="1" applyAlignment="1" applyProtection="1"/>
    <xf numFmtId="0" fontId="17" fillId="0" borderId="0" xfId="0" applyFont="1" applyAlignment="1" applyProtection="1"/>
    <xf numFmtId="0" fontId="12" fillId="0" borderId="0" xfId="10" applyFont="1" applyAlignment="1">
      <alignment horizontal="center" vertical="top"/>
    </xf>
    <xf numFmtId="0" fontId="8" fillId="0" borderId="0" xfId="10" applyFont="1" applyAlignment="1">
      <alignment vertical="top"/>
    </xf>
    <xf numFmtId="0" fontId="14" fillId="0" borderId="0" xfId="10" applyFont="1" applyAlignment="1">
      <alignment horizontal="center"/>
    </xf>
    <xf numFmtId="0" fontId="12" fillId="0" borderId="0" xfId="10" applyFont="1" applyAlignment="1">
      <alignment horizontal="center" vertical="center" wrapText="1"/>
    </xf>
    <xf numFmtId="0" fontId="10" fillId="0" borderId="1" xfId="10" applyFont="1" applyBorder="1" applyAlignment="1">
      <alignment horizontal="center" vertical="center" wrapText="1"/>
    </xf>
    <xf numFmtId="0" fontId="10" fillId="0" borderId="0" xfId="10" applyFont="1" applyBorder="1" applyAlignment="1">
      <alignment horizontal="center" vertical="center" wrapText="1"/>
    </xf>
    <xf numFmtId="0" fontId="11" fillId="0" borderId="2" xfId="10" applyFont="1" applyBorder="1" applyAlignment="1">
      <alignment horizontal="center" vertical="center" wrapText="1"/>
    </xf>
    <xf numFmtId="0" fontId="11" fillId="0" borderId="2" xfId="10" applyFont="1" applyBorder="1" applyAlignment="1">
      <alignment horizontal="center" vertical="center"/>
    </xf>
    <xf numFmtId="0" fontId="8" fillId="0" borderId="2" xfId="10" applyFont="1" applyBorder="1" applyAlignment="1">
      <alignment horizontal="center" vertical="center" wrapText="1"/>
    </xf>
    <xf numFmtId="0" fontId="13" fillId="0" borderId="2" xfId="10" applyFont="1" applyBorder="1" applyAlignment="1">
      <alignment horizontal="center" vertical="top"/>
    </xf>
    <xf numFmtId="0" fontId="13" fillId="0" borderId="2" xfId="10" applyFont="1" applyBorder="1" applyAlignment="1">
      <alignment horizontal="left" vertical="top" wrapText="1"/>
    </xf>
    <xf numFmtId="0" fontId="22" fillId="0" borderId="2" xfId="10" applyFont="1" applyBorder="1" applyAlignment="1">
      <alignment horizontal="center" vertical="top"/>
    </xf>
    <xf numFmtId="0" fontId="22" fillId="0" borderId="2" xfId="10" applyFont="1" applyBorder="1" applyAlignment="1">
      <alignment horizontal="left" vertical="top" wrapText="1"/>
    </xf>
    <xf numFmtId="0" fontId="22" fillId="0" borderId="2" xfId="10" applyFont="1" applyBorder="1" applyAlignment="1">
      <alignment horizontal="center" vertical="top" wrapText="1"/>
    </xf>
    <xf numFmtId="0" fontId="23" fillId="0" borderId="2" xfId="10" applyFont="1" applyBorder="1" applyAlignment="1">
      <alignment horizontal="center" vertical="top" wrapText="1"/>
    </xf>
    <xf numFmtId="0" fontId="23" fillId="0" borderId="2" xfId="10" applyFont="1" applyFill="1" applyBorder="1" applyAlignment="1">
      <alignment horizontal="center" vertical="top" wrapText="1"/>
    </xf>
    <xf numFmtId="165" fontId="22" fillId="0" borderId="2" xfId="10" applyNumberFormat="1" applyFont="1" applyBorder="1" applyAlignment="1">
      <alignment horizontal="center" vertical="top"/>
    </xf>
    <xf numFmtId="0" fontId="22" fillId="0" borderId="2" xfId="10" applyNumberFormat="1" applyFont="1" applyFill="1" applyBorder="1" applyAlignment="1">
      <alignment horizontal="center" vertical="top" wrapText="1"/>
    </xf>
    <xf numFmtId="0" fontId="22" fillId="2" borderId="2" xfId="10" applyNumberFormat="1" applyFont="1" applyFill="1" applyBorder="1" applyAlignment="1">
      <alignment horizontal="center" vertical="top" wrapText="1"/>
    </xf>
    <xf numFmtId="0" fontId="24" fillId="0" borderId="2" xfId="10" applyFont="1" applyBorder="1" applyAlignment="1">
      <alignment horizontal="center" vertical="top" wrapText="1"/>
    </xf>
    <xf numFmtId="0" fontId="25" fillId="0" borderId="2" xfId="10" applyFont="1" applyBorder="1" applyAlignment="1">
      <alignment horizontal="left" vertical="top" wrapText="1"/>
    </xf>
    <xf numFmtId="2" fontId="22" fillId="0" borderId="2" xfId="10" applyNumberFormat="1" applyFont="1" applyBorder="1" applyAlignment="1">
      <alignment horizontal="center" vertical="top"/>
    </xf>
    <xf numFmtId="0" fontId="22" fillId="0" borderId="2" xfId="10" applyFont="1" applyFill="1" applyBorder="1" applyAlignment="1">
      <alignment horizontal="center" vertical="top" wrapText="1"/>
    </xf>
    <xf numFmtId="0" fontId="24" fillId="0" borderId="0" xfId="10" applyFont="1" applyAlignment="1">
      <alignment vertical="top" wrapText="1"/>
    </xf>
    <xf numFmtId="0" fontId="25" fillId="0" borderId="2" xfId="10" applyFont="1" applyBorder="1" applyAlignment="1">
      <alignment horizontal="center" vertical="top" wrapText="1"/>
    </xf>
    <xf numFmtId="0" fontId="9" fillId="0" borderId="0" xfId="11" applyFont="1" applyAlignment="1">
      <alignment vertical="top"/>
    </xf>
    <xf numFmtId="0" fontId="8" fillId="0" borderId="0" xfId="10" applyFont="1" applyAlignment="1">
      <alignment vertical="top" wrapText="1"/>
    </xf>
    <xf numFmtId="0" fontId="8" fillId="0" borderId="0" xfId="10" applyFont="1"/>
    <xf numFmtId="0" fontId="27" fillId="3" borderId="2" xfId="10" applyFont="1" applyFill="1" applyBorder="1" applyAlignment="1">
      <alignment horizontal="center" vertical="center" wrapText="1"/>
    </xf>
    <xf numFmtId="0" fontId="8" fillId="0" borderId="0" xfId="10" applyFont="1" applyBorder="1"/>
    <xf numFmtId="0" fontId="10" fillId="3" borderId="2" xfId="10" applyFont="1" applyFill="1" applyBorder="1" applyAlignment="1">
      <alignment horizontal="center" vertical="center" wrapText="1"/>
    </xf>
    <xf numFmtId="0" fontId="10" fillId="3" borderId="2" xfId="10" applyFont="1" applyFill="1" applyBorder="1" applyAlignment="1">
      <alignment horizontal="left" vertical="top" wrapText="1"/>
    </xf>
    <xf numFmtId="0" fontId="13" fillId="0" borderId="0" xfId="10" applyFont="1" applyBorder="1" applyAlignment="1">
      <alignment horizontal="left" vertical="top" wrapText="1"/>
    </xf>
    <xf numFmtId="0" fontId="13" fillId="0" borderId="0" xfId="10" applyFont="1" applyBorder="1" applyAlignment="1">
      <alignment horizontal="center" vertical="top" wrapText="1"/>
    </xf>
    <xf numFmtId="0" fontId="13" fillId="3" borderId="0" xfId="10" applyFont="1" applyFill="1" applyBorder="1" applyAlignment="1">
      <alignment horizontal="center" vertical="center" wrapText="1"/>
    </xf>
    <xf numFmtId="0" fontId="8" fillId="0" borderId="0" xfId="10" applyFont="1" applyBorder="1" applyAlignment="1">
      <alignment vertical="center" wrapText="1"/>
    </xf>
    <xf numFmtId="0" fontId="8" fillId="3" borderId="2" xfId="10" applyFont="1" applyFill="1" applyBorder="1" applyAlignment="1">
      <alignment horizontal="center" vertical="top" wrapText="1"/>
    </xf>
    <xf numFmtId="0" fontId="13" fillId="3" borderId="2" xfId="10" applyFont="1" applyFill="1" applyBorder="1" applyAlignment="1">
      <alignment horizontal="center" vertical="top" wrapText="1"/>
    </xf>
    <xf numFmtId="0" fontId="28" fillId="0" borderId="2" xfId="10" applyFont="1" applyBorder="1" applyAlignment="1">
      <alignment horizontal="left" vertical="top" wrapText="1"/>
    </xf>
    <xf numFmtId="0" fontId="13" fillId="0" borderId="2" xfId="10" applyFont="1" applyFill="1" applyBorder="1" applyAlignment="1">
      <alignment horizontal="center" vertical="top" wrapText="1"/>
    </xf>
    <xf numFmtId="0" fontId="29" fillId="0" borderId="0" xfId="12"/>
    <xf numFmtId="0" fontId="30" fillId="0" borderId="0" xfId="13" applyAlignment="1">
      <alignment vertical="center"/>
    </xf>
    <xf numFmtId="14" fontId="13" fillId="0" borderId="2" xfId="12" applyNumberFormat="1" applyFont="1" applyBorder="1" applyAlignment="1">
      <alignment horizontal="center" vertical="center" wrapText="1"/>
    </xf>
    <xf numFmtId="0" fontId="29" fillId="0" borderId="0" xfId="12" applyBorder="1"/>
    <xf numFmtId="0" fontId="8" fillId="0" borderId="0" xfId="12" applyFont="1" applyBorder="1" applyAlignment="1">
      <alignment horizontal="center" vertical="center"/>
    </xf>
    <xf numFmtId="0" fontId="13" fillId="0" borderId="2" xfId="12" applyFont="1" applyFill="1" applyBorder="1" applyAlignment="1">
      <alignment vertical="center" wrapText="1"/>
    </xf>
    <xf numFmtId="0" fontId="13" fillId="0" borderId="0" xfId="12" applyFont="1" applyFill="1" applyBorder="1" applyAlignment="1">
      <alignment vertical="center" wrapText="1"/>
    </xf>
    <xf numFmtId="0" fontId="13" fillId="0" borderId="2" xfId="12" applyFont="1" applyBorder="1" applyAlignment="1">
      <alignment vertical="center" wrapText="1"/>
    </xf>
    <xf numFmtId="0" fontId="13" fillId="0" borderId="0" xfId="12" applyFont="1" applyBorder="1" applyAlignment="1">
      <alignment vertical="center" wrapText="1"/>
    </xf>
    <xf numFmtId="0" fontId="28" fillId="0" borderId="2" xfId="12" applyFont="1" applyBorder="1" applyAlignment="1">
      <alignment vertical="center" wrapText="1"/>
    </xf>
    <xf numFmtId="2" fontId="13" fillId="2" borderId="12" xfId="14" applyNumberFormat="1" applyFont="1" applyFill="1" applyBorder="1" applyAlignment="1">
      <alignment horizontal="center" vertical="top" wrapText="1"/>
    </xf>
    <xf numFmtId="2" fontId="13" fillId="2" borderId="17" xfId="14" applyNumberFormat="1" applyFont="1" applyFill="1" applyBorder="1" applyAlignment="1">
      <alignment horizontal="center" vertical="top" wrapText="1"/>
    </xf>
    <xf numFmtId="0" fontId="33" fillId="0" borderId="2" xfId="0" applyFont="1" applyBorder="1" applyAlignment="1" applyProtection="1">
      <alignment horizontal="center" vertical="center" wrapText="1"/>
    </xf>
    <xf numFmtId="0" fontId="8" fillId="0" borderId="2" xfId="0" applyFont="1" applyBorder="1" applyAlignment="1" applyProtection="1">
      <alignment vertical="center" wrapText="1"/>
    </xf>
    <xf numFmtId="0" fontId="8" fillId="0" borderId="2" xfId="0" applyFont="1" applyBorder="1" applyAlignment="1" applyProtection="1">
      <alignment vertical="top" wrapText="1"/>
    </xf>
    <xf numFmtId="0" fontId="10" fillId="0" borderId="2" xfId="0" applyFont="1" applyBorder="1" applyAlignment="1" applyProtection="1">
      <alignment horizontal="left" vertical="center" wrapText="1"/>
    </xf>
    <xf numFmtId="0" fontId="8" fillId="0" borderId="2"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13" fillId="0" borderId="8"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10" fillId="0" borderId="2" xfId="0" applyFont="1" applyBorder="1" applyAlignment="1" applyProtection="1">
      <alignment horizontal="center" vertical="center" wrapText="1"/>
    </xf>
    <xf numFmtId="0" fontId="8" fillId="0" borderId="2" xfId="0" applyFont="1" applyBorder="1" applyAlignment="1" applyProtection="1">
      <alignment horizontal="center" vertical="center"/>
    </xf>
    <xf numFmtId="0" fontId="13" fillId="0" borderId="5" xfId="12" applyFont="1" applyBorder="1" applyAlignment="1">
      <alignment horizontal="center" vertical="center" wrapText="1"/>
    </xf>
    <xf numFmtId="14" fontId="13" fillId="0" borderId="8" xfId="12" applyNumberFormat="1" applyFont="1" applyBorder="1" applyAlignment="1">
      <alignment horizontal="center" vertical="center" wrapText="1"/>
    </xf>
    <xf numFmtId="0" fontId="13" fillId="0" borderId="8" xfId="12" applyFont="1" applyBorder="1" applyAlignment="1">
      <alignment horizontal="left" vertical="center" wrapText="1"/>
    </xf>
    <xf numFmtId="0" fontId="35" fillId="0" borderId="2" xfId="12" applyFont="1" applyBorder="1" applyAlignment="1">
      <alignment horizontal="center" vertical="center" wrapText="1"/>
    </xf>
    <xf numFmtId="0" fontId="13" fillId="0" borderId="2" xfId="12" applyFont="1" applyFill="1" applyBorder="1" applyAlignment="1">
      <alignment horizontal="left" vertical="center" wrapText="1"/>
    </xf>
    <xf numFmtId="0" fontId="13" fillId="0" borderId="13" xfId="12" applyFont="1" applyBorder="1" applyAlignment="1">
      <alignment horizontal="left" vertical="center" wrapText="1"/>
    </xf>
    <xf numFmtId="0" fontId="13" fillId="0" borderId="2" xfId="12" applyFont="1" applyBorder="1" applyAlignment="1">
      <alignment horizontal="center" vertical="center" wrapText="1"/>
    </xf>
    <xf numFmtId="0" fontId="13" fillId="0" borderId="2" xfId="12" applyFont="1" applyBorder="1" applyAlignment="1">
      <alignment horizontal="left" vertical="center" wrapText="1"/>
    </xf>
    <xf numFmtId="49" fontId="13" fillId="0" borderId="2" xfId="12" applyNumberFormat="1" applyFont="1" applyBorder="1" applyAlignment="1">
      <alignment horizontal="center" vertical="center" wrapText="1"/>
    </xf>
    <xf numFmtId="0" fontId="13" fillId="0" borderId="2" xfId="16" applyFont="1" applyBorder="1" applyAlignment="1">
      <alignment vertical="center" wrapText="1"/>
    </xf>
    <xf numFmtId="0" fontId="8" fillId="0" borderId="2" xfId="17" applyNumberFormat="1" applyFont="1" applyBorder="1" applyAlignment="1">
      <alignment vertical="top" wrapText="1"/>
    </xf>
    <xf numFmtId="0" fontId="13" fillId="0" borderId="19" xfId="12" applyFont="1" applyBorder="1" applyAlignment="1">
      <alignment horizontal="left" vertical="center" wrapText="1"/>
    </xf>
    <xf numFmtId="0" fontId="8" fillId="2" borderId="2" xfId="16" applyNumberFormat="1" applyFont="1" applyFill="1" applyBorder="1" applyAlignment="1">
      <alignment horizontal="left" vertical="center" wrapText="1"/>
    </xf>
    <xf numFmtId="0" fontId="8" fillId="0" borderId="2" xfId="16" applyNumberFormat="1" applyFont="1" applyFill="1" applyBorder="1" applyAlignment="1">
      <alignment horizontal="left" vertical="center" wrapText="1"/>
    </xf>
    <xf numFmtId="0" fontId="13" fillId="0" borderId="8" xfId="16" applyFont="1" applyBorder="1" applyAlignment="1">
      <alignment horizontal="left" vertical="top" wrapText="1"/>
    </xf>
    <xf numFmtId="0" fontId="8" fillId="0" borderId="18" xfId="16" applyNumberFormat="1" applyFont="1" applyFill="1" applyBorder="1" applyAlignment="1">
      <alignment horizontal="left" vertical="center" wrapText="1"/>
    </xf>
    <xf numFmtId="0" fontId="8" fillId="2" borderId="12" xfId="16" applyNumberFormat="1" applyFont="1" applyFill="1" applyBorder="1" applyAlignment="1">
      <alignment horizontal="left" vertical="center" wrapText="1"/>
    </xf>
    <xf numFmtId="0" fontId="13" fillId="0" borderId="2" xfId="18" applyFont="1" applyBorder="1" applyAlignment="1">
      <alignment horizontal="left" vertical="top" wrapText="1"/>
    </xf>
    <xf numFmtId="0" fontId="8" fillId="2" borderId="2" xfId="18" applyNumberFormat="1" applyFont="1" applyFill="1" applyBorder="1" applyAlignment="1">
      <alignment horizontal="left" vertical="center" wrapText="1"/>
    </xf>
    <xf numFmtId="0" fontId="8" fillId="2" borderId="12" xfId="18" applyNumberFormat="1" applyFont="1" applyFill="1" applyBorder="1" applyAlignment="1">
      <alignment horizontal="left" vertical="center" wrapText="1"/>
    </xf>
    <xf numFmtId="0" fontId="8" fillId="0" borderId="2" xfId="0" applyFont="1" applyBorder="1" applyAlignment="1" applyProtection="1">
      <alignment vertical="center" wrapText="1"/>
    </xf>
    <xf numFmtId="0" fontId="8" fillId="0" borderId="2" xfId="0" applyFont="1" applyBorder="1" applyAlignment="1" applyProtection="1">
      <alignment vertical="top" wrapText="1"/>
    </xf>
    <xf numFmtId="0" fontId="8" fillId="0" borderId="2" xfId="0" applyFont="1" applyBorder="1" applyAlignment="1" applyProtection="1">
      <alignment horizontal="center" vertical="center" wrapText="1"/>
    </xf>
    <xf numFmtId="0" fontId="8" fillId="4" borderId="2" xfId="0" applyFont="1" applyFill="1" applyBorder="1" applyAlignment="1" applyProtection="1">
      <alignment vertical="center" wrapText="1"/>
    </xf>
    <xf numFmtId="0" fontId="8" fillId="4" borderId="2" xfId="0" applyFont="1" applyFill="1" applyBorder="1" applyAlignment="1" applyProtection="1">
      <alignment vertical="top" wrapText="1"/>
    </xf>
    <xf numFmtId="164" fontId="8" fillId="4" borderId="2" xfId="0" applyNumberFormat="1" applyFont="1" applyFill="1" applyBorder="1" applyAlignment="1" applyProtection="1">
      <alignment horizontal="center" vertical="center" wrapText="1"/>
    </xf>
    <xf numFmtId="0" fontId="8" fillId="4" borderId="2" xfId="0" applyFont="1" applyFill="1" applyBorder="1" applyAlignment="1" applyProtection="1">
      <alignment horizontal="left" vertical="center" wrapText="1" indent="4"/>
    </xf>
    <xf numFmtId="164" fontId="8" fillId="4" borderId="4" xfId="0" applyNumberFormat="1" applyFont="1" applyFill="1" applyBorder="1" applyAlignment="1" applyProtection="1">
      <alignment horizontal="center" vertical="center" wrapText="1"/>
    </xf>
    <xf numFmtId="0" fontId="8" fillId="4" borderId="2" xfId="0" applyFont="1" applyFill="1" applyBorder="1" applyAlignment="1" applyProtection="1">
      <alignment horizontal="center" vertical="center" wrapText="1"/>
    </xf>
    <xf numFmtId="164" fontId="13" fillId="4" borderId="2" xfId="0" applyNumberFormat="1" applyFont="1" applyFill="1" applyBorder="1" applyAlignment="1" applyProtection="1">
      <alignment horizontal="center" vertical="center"/>
    </xf>
    <xf numFmtId="0" fontId="13" fillId="0" borderId="2" xfId="12" applyFont="1" applyBorder="1" applyAlignment="1">
      <alignment horizontal="left" vertical="center" wrapText="1"/>
    </xf>
    <xf numFmtId="0" fontId="8" fillId="0" borderId="2" xfId="0" applyFont="1" applyBorder="1" applyAlignment="1" applyProtection="1">
      <alignment horizontal="left" vertical="center" wrapText="1"/>
    </xf>
    <xf numFmtId="0" fontId="13" fillId="0" borderId="2" xfId="0" applyFont="1" applyBorder="1" applyAlignment="1" applyProtection="1">
      <alignment horizontal="left" vertical="top" wrapText="1"/>
    </xf>
    <xf numFmtId="0" fontId="8" fillId="0" borderId="2" xfId="0" applyFont="1" applyBorder="1" applyAlignment="1" applyProtection="1">
      <alignment horizontal="left" vertical="top" wrapText="1"/>
    </xf>
    <xf numFmtId="0" fontId="8" fillId="0" borderId="2" xfId="0" applyFont="1" applyBorder="1" applyAlignment="1" applyProtection="1">
      <alignment vertical="center" wrapText="1"/>
    </xf>
    <xf numFmtId="0" fontId="8" fillId="0" borderId="2" xfId="0" applyFont="1" applyBorder="1" applyAlignment="1" applyProtection="1">
      <alignment vertical="top" wrapText="1"/>
    </xf>
    <xf numFmtId="0" fontId="10" fillId="0" borderId="0" xfId="0" applyFont="1" applyBorder="1" applyAlignment="1" applyProtection="1">
      <alignment horizontal="center" vertical="top" wrapText="1"/>
    </xf>
    <xf numFmtId="0" fontId="10" fillId="0" borderId="0" xfId="0" applyFont="1" applyBorder="1" applyAlignment="1" applyProtection="1">
      <alignment horizontal="center" wrapText="1"/>
    </xf>
    <xf numFmtId="0" fontId="11" fillId="0" borderId="0" xfId="0" applyFont="1" applyBorder="1" applyAlignment="1" applyProtection="1">
      <alignment horizontal="center" vertical="center" wrapText="1"/>
    </xf>
    <xf numFmtId="0" fontId="8" fillId="0" borderId="2" xfId="10" applyFont="1" applyBorder="1" applyAlignment="1">
      <alignment horizontal="center" vertical="center" wrapText="1"/>
    </xf>
    <xf numFmtId="0" fontId="21" fillId="0" borderId="2" xfId="10" applyFont="1" applyFill="1" applyBorder="1" applyAlignment="1">
      <alignment horizontal="center" vertical="center" wrapText="1"/>
    </xf>
    <xf numFmtId="0" fontId="11" fillId="0" borderId="4" xfId="10" applyFont="1" applyBorder="1" applyAlignment="1">
      <alignment horizontal="center" vertical="center"/>
    </xf>
    <xf numFmtId="0" fontId="11" fillId="0" borderId="9" xfId="10" applyFont="1" applyBorder="1" applyAlignment="1">
      <alignment horizontal="center" vertical="center"/>
    </xf>
    <xf numFmtId="0" fontId="11" fillId="0" borderId="6" xfId="10" applyFont="1" applyBorder="1" applyAlignment="1">
      <alignment horizontal="center" vertical="center"/>
    </xf>
    <xf numFmtId="0" fontId="11" fillId="0" borderId="5" xfId="10" applyFont="1" applyBorder="1" applyAlignment="1">
      <alignment horizontal="center" vertical="center"/>
    </xf>
    <xf numFmtId="0" fontId="11" fillId="0" borderId="3" xfId="10" applyFont="1" applyBorder="1" applyAlignment="1">
      <alignment horizontal="center" vertical="center"/>
    </xf>
    <xf numFmtId="0" fontId="11" fillId="0" borderId="5" xfId="10" applyFont="1" applyBorder="1" applyAlignment="1">
      <alignment horizontal="center" vertical="center" wrapText="1"/>
    </xf>
    <xf numFmtId="0" fontId="11" fillId="0" borderId="3" xfId="10" applyFont="1" applyBorder="1" applyAlignment="1">
      <alignment horizontal="center" vertical="center" wrapText="1"/>
    </xf>
    <xf numFmtId="0" fontId="11" fillId="0" borderId="2" xfId="10" applyFont="1" applyBorder="1" applyAlignment="1">
      <alignment horizontal="center" vertical="center" wrapText="1"/>
    </xf>
    <xf numFmtId="0" fontId="12" fillId="0" borderId="0" xfId="10" applyFont="1" applyBorder="1" applyAlignment="1">
      <alignment horizontal="center" vertical="center" wrapText="1"/>
    </xf>
    <xf numFmtId="0" fontId="14" fillId="0" borderId="0" xfId="10" applyFont="1" applyAlignment="1">
      <alignment horizontal="center"/>
    </xf>
    <xf numFmtId="0" fontId="14" fillId="0" borderId="0" xfId="10" applyFont="1" applyAlignment="1">
      <alignment horizontal="center" vertical="center" wrapText="1"/>
    </xf>
    <xf numFmtId="0" fontId="12" fillId="0" borderId="0" xfId="10" applyFont="1" applyAlignment="1">
      <alignment horizontal="center" vertical="center" wrapText="1"/>
    </xf>
    <xf numFmtId="0" fontId="27" fillId="0" borderId="4" xfId="10" applyFont="1" applyBorder="1" applyAlignment="1">
      <alignment horizontal="center" vertical="center" wrapText="1"/>
    </xf>
    <xf numFmtId="0" fontId="27" fillId="0" borderId="9" xfId="10" applyFont="1" applyBorder="1" applyAlignment="1">
      <alignment horizontal="center" vertical="center" wrapText="1"/>
    </xf>
    <xf numFmtId="0" fontId="27" fillId="0" borderId="6" xfId="10" applyFont="1" applyBorder="1" applyAlignment="1">
      <alignment horizontal="center" vertical="center" wrapText="1"/>
    </xf>
    <xf numFmtId="0" fontId="12" fillId="0" borderId="0" xfId="10" applyFont="1" applyBorder="1" applyAlignment="1">
      <alignment horizontal="center" vertical="top" wrapText="1"/>
    </xf>
    <xf numFmtId="0" fontId="10" fillId="0" borderId="0" xfId="10" applyFont="1" applyBorder="1" applyAlignment="1">
      <alignment horizontal="center" vertical="top" wrapText="1"/>
    </xf>
    <xf numFmtId="0" fontId="10" fillId="3" borderId="2" xfId="10" applyFont="1" applyFill="1" applyBorder="1" applyAlignment="1">
      <alignment horizontal="center" vertical="center" wrapText="1"/>
    </xf>
    <xf numFmtId="0" fontId="10" fillId="3" borderId="5" xfId="10" applyFont="1" applyFill="1" applyBorder="1" applyAlignment="1">
      <alignment horizontal="center" vertical="center" wrapText="1"/>
    </xf>
    <xf numFmtId="0" fontId="10" fillId="3" borderId="3" xfId="10" applyFont="1" applyFill="1" applyBorder="1" applyAlignment="1">
      <alignment horizontal="center" vertical="center" wrapText="1"/>
    </xf>
    <xf numFmtId="0" fontId="27" fillId="3" borderId="2" xfId="10" applyFont="1" applyFill="1" applyBorder="1" applyAlignment="1">
      <alignment horizontal="center" vertical="center" wrapText="1"/>
    </xf>
    <xf numFmtId="49" fontId="13" fillId="0" borderId="2" xfId="12" applyNumberFormat="1" applyFont="1" applyBorder="1" applyAlignment="1">
      <alignment horizontal="center" vertical="center" wrapText="1"/>
    </xf>
    <xf numFmtId="0" fontId="27" fillId="0" borderId="2" xfId="13" applyFont="1" applyFill="1" applyBorder="1" applyAlignment="1">
      <alignment horizontal="center" vertical="center" wrapText="1"/>
    </xf>
    <xf numFmtId="0" fontId="13" fillId="0" borderId="2" xfId="12" applyFont="1" applyFill="1" applyBorder="1" applyAlignment="1">
      <alignment horizontal="center" vertical="center" wrapText="1"/>
    </xf>
    <xf numFmtId="0" fontId="13" fillId="0" borderId="10" xfId="12" applyFont="1" applyFill="1" applyBorder="1" applyAlignment="1">
      <alignment horizontal="left" vertical="center" wrapText="1"/>
    </xf>
    <xf numFmtId="0" fontId="13" fillId="0" borderId="11" xfId="12" applyFont="1" applyFill="1" applyBorder="1" applyAlignment="1">
      <alignment horizontal="left" vertical="center" wrapText="1"/>
    </xf>
    <xf numFmtId="0" fontId="31" fillId="0" borderId="2" xfId="12" applyFont="1" applyFill="1" applyBorder="1" applyAlignment="1">
      <alignment horizontal="center" vertical="center" wrapText="1"/>
    </xf>
    <xf numFmtId="49" fontId="13" fillId="0" borderId="5" xfId="12" applyNumberFormat="1" applyFont="1" applyBorder="1" applyAlignment="1">
      <alignment horizontal="center" vertical="center" wrapText="1"/>
    </xf>
    <xf numFmtId="49" fontId="13" fillId="0" borderId="3" xfId="12" applyNumberFormat="1" applyFont="1" applyBorder="1" applyAlignment="1">
      <alignment horizontal="center" vertical="center" wrapText="1"/>
    </xf>
    <xf numFmtId="0" fontId="31" fillId="0" borderId="2" xfId="12" applyFont="1" applyBorder="1" applyAlignment="1">
      <alignment horizontal="center" vertical="center" wrapText="1"/>
    </xf>
    <xf numFmtId="0" fontId="8" fillId="0" borderId="2" xfId="12" applyFont="1" applyFill="1" applyBorder="1" applyAlignment="1">
      <alignment horizontal="center" vertical="center"/>
    </xf>
    <xf numFmtId="0" fontId="13" fillId="0" borderId="2" xfId="12" applyFont="1" applyFill="1" applyBorder="1" applyAlignment="1">
      <alignment horizontal="left" vertical="center" wrapText="1"/>
    </xf>
    <xf numFmtId="0" fontId="13" fillId="0" borderId="5" xfId="12" applyFont="1" applyBorder="1" applyAlignment="1">
      <alignment horizontal="center" vertical="center" wrapText="1"/>
    </xf>
    <xf numFmtId="0" fontId="13" fillId="0" borderId="3" xfId="12" applyFont="1" applyBorder="1" applyAlignment="1">
      <alignment horizontal="center" vertical="center" wrapText="1"/>
    </xf>
    <xf numFmtId="0" fontId="27" fillId="0" borderId="4" xfId="13" applyFont="1" applyFill="1" applyBorder="1" applyAlignment="1">
      <alignment horizontal="center" vertical="center" wrapText="1"/>
    </xf>
    <xf numFmtId="0" fontId="27" fillId="0" borderId="9" xfId="13" applyFont="1" applyFill="1" applyBorder="1" applyAlignment="1">
      <alignment horizontal="center" vertical="center" wrapText="1"/>
    </xf>
    <xf numFmtId="0" fontId="27" fillId="0" borderId="6" xfId="13" applyFont="1" applyFill="1" applyBorder="1" applyAlignment="1">
      <alignment horizontal="center" vertical="center" wrapText="1"/>
    </xf>
    <xf numFmtId="0" fontId="13" fillId="0" borderId="4" xfId="12" applyFont="1" applyFill="1" applyBorder="1" applyAlignment="1">
      <alignment horizontal="center" vertical="center" wrapText="1"/>
    </xf>
    <xf numFmtId="0" fontId="13" fillId="0" borderId="9" xfId="12" applyFont="1" applyFill="1" applyBorder="1" applyAlignment="1">
      <alignment horizontal="center" vertical="center" wrapText="1"/>
    </xf>
    <xf numFmtId="0" fontId="13" fillId="0" borderId="6" xfId="12" applyFont="1" applyFill="1" applyBorder="1" applyAlignment="1">
      <alignment horizontal="center" vertical="center" wrapText="1"/>
    </xf>
    <xf numFmtId="0" fontId="13" fillId="0" borderId="2" xfId="12" applyFont="1" applyBorder="1" applyAlignment="1">
      <alignment horizontal="center" vertical="center" wrapText="1"/>
    </xf>
    <xf numFmtId="0" fontId="8" fillId="0" borderId="0" xfId="12" applyFont="1" applyAlignment="1">
      <alignment horizontal="left" vertical="center" wrapText="1"/>
    </xf>
    <xf numFmtId="0" fontId="31" fillId="0" borderId="2" xfId="12" applyFont="1" applyBorder="1" applyAlignment="1">
      <alignment horizontal="center" vertical="center"/>
    </xf>
    <xf numFmtId="0" fontId="31" fillId="0" borderId="4" xfId="12" applyFont="1" applyBorder="1" applyAlignment="1">
      <alignment horizontal="center" vertical="center" wrapText="1"/>
    </xf>
    <xf numFmtId="0" fontId="31" fillId="0" borderId="9" xfId="12" applyFont="1" applyBorder="1" applyAlignment="1">
      <alignment horizontal="center" vertical="center" wrapText="1"/>
    </xf>
    <xf numFmtId="0" fontId="31" fillId="0" borderId="6" xfId="12" applyFont="1" applyBorder="1" applyAlignment="1">
      <alignment horizontal="center" vertical="center" wrapText="1"/>
    </xf>
    <xf numFmtId="0" fontId="13" fillId="0" borderId="2" xfId="12" applyFont="1" applyBorder="1" applyAlignment="1">
      <alignment horizontal="left" vertical="center" wrapText="1"/>
    </xf>
    <xf numFmtId="0" fontId="12" fillId="0" borderId="0" xfId="16" applyFont="1" applyBorder="1" applyAlignment="1">
      <alignment horizontal="center" vertical="center" wrapText="1"/>
    </xf>
    <xf numFmtId="0" fontId="27" fillId="0" borderId="2" xfId="12" applyFont="1" applyBorder="1" applyAlignment="1">
      <alignment horizontal="center" vertical="center" wrapText="1"/>
    </xf>
    <xf numFmtId="0" fontId="27" fillId="0" borderId="2" xfId="13" applyFont="1" applyBorder="1" applyAlignment="1">
      <alignment horizontal="center" vertical="center" wrapText="1"/>
    </xf>
    <xf numFmtId="14" fontId="13" fillId="0" borderId="5" xfId="12" applyNumberFormat="1" applyFont="1" applyBorder="1" applyAlignment="1">
      <alignment horizontal="center" vertical="center" wrapText="1"/>
    </xf>
    <xf numFmtId="14" fontId="13" fillId="0" borderId="3" xfId="12" applyNumberFormat="1" applyFont="1" applyBorder="1" applyAlignment="1">
      <alignment horizontal="center" vertical="center" wrapText="1"/>
    </xf>
    <xf numFmtId="0" fontId="13" fillId="0" borderId="4" xfId="12" applyFont="1" applyFill="1" applyBorder="1" applyAlignment="1">
      <alignment horizontal="left" vertical="center" wrapText="1"/>
    </xf>
    <xf numFmtId="0" fontId="13" fillId="0" borderId="20" xfId="12" applyFont="1" applyFill="1" applyBorder="1" applyAlignment="1">
      <alignment horizontal="left" vertical="center" wrapText="1"/>
    </xf>
    <xf numFmtId="0" fontId="13" fillId="0" borderId="5" xfId="12" applyFont="1" applyBorder="1" applyAlignment="1">
      <alignment horizontal="left" vertical="center" wrapText="1"/>
    </xf>
    <xf numFmtId="0" fontId="13" fillId="0" borderId="3" xfId="12" applyFont="1" applyBorder="1" applyAlignment="1">
      <alignment horizontal="left" vertical="center" wrapText="1"/>
    </xf>
    <xf numFmtId="0" fontId="13" fillId="0" borderId="13" xfId="12" applyFont="1" applyBorder="1" applyAlignment="1">
      <alignment horizontal="left" vertical="center" wrapText="1"/>
    </xf>
    <xf numFmtId="0" fontId="13" fillId="0" borderId="15" xfId="12" applyFont="1" applyBorder="1" applyAlignment="1">
      <alignment horizontal="left" vertical="center" wrapText="1"/>
    </xf>
    <xf numFmtId="0" fontId="34" fillId="0" borderId="10" xfId="12" applyFont="1" applyFill="1" applyBorder="1" applyAlignment="1">
      <alignment horizontal="left" vertical="center" wrapText="1"/>
    </xf>
    <xf numFmtId="0" fontId="34" fillId="0" borderId="11" xfId="12" applyFont="1" applyFill="1" applyBorder="1" applyAlignment="1">
      <alignment horizontal="left" vertical="center" wrapText="1"/>
    </xf>
    <xf numFmtId="0" fontId="13" fillId="0" borderId="14" xfId="12" applyFont="1" applyBorder="1" applyAlignment="1">
      <alignment horizontal="left" vertical="center" wrapText="1"/>
    </xf>
    <xf numFmtId="0" fontId="13" fillId="0" borderId="16" xfId="12" applyFont="1" applyBorder="1" applyAlignment="1">
      <alignment horizontal="left" vertical="center" wrapText="1"/>
    </xf>
    <xf numFmtId="0" fontId="13" fillId="0" borderId="5" xfId="12" applyFont="1" applyFill="1" applyBorder="1" applyAlignment="1">
      <alignment horizontal="left" vertical="center" wrapText="1"/>
    </xf>
    <xf numFmtId="0" fontId="13" fillId="0" borderId="3" xfId="12" applyFont="1" applyFill="1" applyBorder="1" applyAlignment="1">
      <alignment horizontal="left" vertical="center" wrapText="1"/>
    </xf>
    <xf numFmtId="0" fontId="13" fillId="0" borderId="13" xfId="12" applyFont="1" applyFill="1" applyBorder="1" applyAlignment="1">
      <alignment horizontal="left" vertical="center" wrapText="1"/>
    </xf>
    <xf numFmtId="0" fontId="13" fillId="0" borderId="15" xfId="12" applyFont="1" applyFill="1" applyBorder="1" applyAlignment="1">
      <alignment horizontal="left" vertical="center" wrapText="1"/>
    </xf>
    <xf numFmtId="0" fontId="13" fillId="0" borderId="14" xfId="12" applyFont="1" applyFill="1" applyBorder="1" applyAlignment="1">
      <alignment horizontal="left" vertical="center" wrapText="1"/>
    </xf>
    <xf numFmtId="0" fontId="13" fillId="0" borderId="16" xfId="12" applyFont="1" applyFill="1" applyBorder="1" applyAlignment="1">
      <alignment horizontal="left" vertical="center" wrapText="1"/>
    </xf>
    <xf numFmtId="0" fontId="10" fillId="0" borderId="2" xfId="0" applyFont="1" applyBorder="1" applyAlignment="1" applyProtection="1">
      <alignment horizontal="left" vertical="center" wrapText="1"/>
    </xf>
    <xf numFmtId="0" fontId="8" fillId="0" borderId="2"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13" fillId="0" borderId="8"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2" xfId="0" applyFont="1" applyBorder="1" applyAlignment="1" applyProtection="1">
      <alignment horizontal="left" vertical="center" wrapText="1"/>
    </xf>
    <xf numFmtId="0" fontId="8" fillId="0" borderId="5" xfId="0" applyFont="1" applyBorder="1" applyAlignment="1" applyProtection="1">
      <alignment horizontal="center" vertical="center" wrapText="1"/>
    </xf>
    <xf numFmtId="0" fontId="8" fillId="0" borderId="5" xfId="0" applyFont="1" applyBorder="1" applyAlignment="1" applyProtection="1">
      <alignment horizontal="left" vertical="center" wrapText="1"/>
    </xf>
    <xf numFmtId="0" fontId="10" fillId="0" borderId="2" xfId="0" applyFont="1" applyBorder="1" applyAlignment="1" applyProtection="1">
      <alignment horizontal="center" vertical="center" wrapText="1"/>
    </xf>
    <xf numFmtId="0" fontId="8" fillId="0" borderId="2" xfId="0" applyFont="1" applyBorder="1" applyAlignment="1" applyProtection="1">
      <alignment vertical="top"/>
    </xf>
    <xf numFmtId="0" fontId="15" fillId="0" borderId="0" xfId="0" applyFont="1" applyBorder="1" applyAlignment="1" applyProtection="1">
      <alignment horizontal="center" vertical="top"/>
    </xf>
    <xf numFmtId="0" fontId="8" fillId="0" borderId="2" xfId="0" applyFont="1" applyBorder="1" applyAlignment="1" applyProtection="1">
      <alignment horizontal="center" vertical="center"/>
    </xf>
    <xf numFmtId="0" fontId="14" fillId="0" borderId="0" xfId="0" applyFont="1" applyBorder="1" applyAlignment="1" applyProtection="1">
      <alignment horizontal="center"/>
    </xf>
    <xf numFmtId="0" fontId="14" fillId="0" borderId="0" xfId="0" applyFont="1" applyBorder="1" applyAlignment="1" applyProtection="1">
      <alignment horizontal="center" vertical="center" wrapText="1"/>
    </xf>
    <xf numFmtId="0" fontId="12" fillId="0" borderId="0" xfId="0" applyFont="1" applyBorder="1" applyAlignment="1" applyProtection="1">
      <alignment horizontal="center" vertical="center" wrapText="1"/>
    </xf>
  </cellXfs>
  <cellStyles count="19">
    <cellStyle name="Гиперссылка" xfId="1" builtinId="8"/>
    <cellStyle name="Гиперссылка 2" xfId="2"/>
    <cellStyle name="Гиперссылка 2 2" xfId="3"/>
    <cellStyle name="Гиперссылка 2 3" xfId="4"/>
    <cellStyle name="Гиперссылка 2 4" xfId="13"/>
    <cellStyle name="Гиперссылка 3" xfId="11"/>
    <cellStyle name="Обычный" xfId="0" builtinId="0"/>
    <cellStyle name="Обычный 2" xfId="5"/>
    <cellStyle name="Обычный 2 2" xfId="6"/>
    <cellStyle name="Обычный 2 3" xfId="7"/>
    <cellStyle name="Обычный 2 4" xfId="12"/>
    <cellStyle name="Обычный 20" xfId="14"/>
    <cellStyle name="Обычный 20 2" xfId="17"/>
    <cellStyle name="Обычный 3" xfId="8"/>
    <cellStyle name="Обычный 4" xfId="10"/>
    <cellStyle name="Обычный 4 2" xfId="16"/>
    <cellStyle name="Обычный 5" xfId="15"/>
    <cellStyle name="Обычный 5 2" xfId="18"/>
    <cellStyle name="Стиль 1" xfId="9"/>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00B050"/>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5.%20&#1092;&#1080;&#1085;&#1072;&#1085;&#1089;&#1080;&#1088;&#1086;&#1074;%2026.11.2024%20&#1091;&#1090;&#1086;&#1095;"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3;&#1054;&#1042;&#1040;&#1071;%20&#1043;&#1055;%20&#1074;&#1085;&#1077;&#1089;&#1077;&#1085;&#1077;&#1085;&#1080;&#1077;%20&#1080;&#1079;&#1084;&#1077;&#1085;&#1077;&#1085;&#1080;&#1081;%20&#1074;%20&#8470;%20730-&#1087;&#1087;/&#1053;&#1086;&#1074;&#1086;&#1077;%20&#1087;&#1086;&#1089;&#1090;&#1072;&#1085;&#1086;&#1074;&#1083;&#1077;&#1085;&#1080;&#1077;%20&#1084;&#1072;&#1088;&#1090;%20-%20&#1072;&#1087;&#1088;&#1077;&#1083;&#1100;%202024%20&#1075;&#1086;&#1076;%20-%20&#1074;%20&#1087;&#1088;&#1086;&#1090;&#1086;&#1082;&#1086;&#1083;&#1100;&#1085;&#1099;&#1081;%20(&#8470;%20173-&#1087;&#1087;%20&#1086;&#1090;%2029.04.2024)/2.%20&#1043;&#1054;&#1057;&#1055;&#1056;&#1054;&#1043;&#1056;&#1040;&#1052;&#1052;&#1040;%20&#1059;&#1058;&#1054;&#1063;%20(&#1089;&#1090;&#1088;%207-13)%20-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5. финансиров 26.11"/>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2. Показатели ГП УТОЧ"/>
      <sheetName val="3. Показатели ГП_по месяцам"/>
      <sheetName val="5. Финансовое обеспечение ГП"/>
    </sheetNames>
    <sheetDataSet>
      <sheetData sheetId="0"/>
      <sheetData sheetId="1"/>
      <sheetData sheetId="2">
        <row r="56">
          <cell r="H56">
            <v>13127435.835999999</v>
          </cell>
          <cell r="I56">
            <v>15532607.199999999</v>
          </cell>
          <cell r="J56">
            <v>16011444.699999999</v>
          </cell>
          <cell r="K56">
            <v>16128852.992000001</v>
          </cell>
          <cell r="L56">
            <v>16850008.367679998</v>
          </cell>
          <cell r="M56">
            <v>17855401.4383872</v>
          </cell>
          <cell r="N56">
            <v>18202391.811922699</v>
          </cell>
          <cell r="O56">
            <v>113708142.34599</v>
          </cell>
        </row>
      </sheetData>
    </sheetDataSet>
  </externalBook>
</externalLink>
</file>

<file path=xl/theme/theme1.xml><?xml version="1.0" encoding="utf-8"?>
<a:theme xmlns:a="http://schemas.openxmlformats.org/drawingml/2006/main" name="Тема Office">
  <a:themeElements>
    <a:clrScheme name="Стандартная">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majorFont>
      <a:minorFont>
        <a:latin typeface="Calibri"/>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a:gradFill>
        <a:gradFill>
          <a:gsLst>
            <a:gs pos="0">
              <a:schemeClr val="phClr">
                <a:shade val="51000"/>
              </a:schemeClr>
            </a:gs>
            <a:gs pos="80000">
              <a:schemeClr val="phClr">
                <a:shade val="93000"/>
              </a:schemeClr>
            </a:gs>
            <a:gs pos="100000">
              <a:schemeClr val="phClr">
                <a:shade val="94000"/>
              </a:schemeClr>
            </a:gs>
          </a:gsLst>
          <a:lin ang="16200000" scaled="0"/>
          <a:tileRect/>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a:gradFill>
        <a:gradFill>
          <a:gsLst>
            <a:gs pos="0">
              <a:schemeClr val="phClr">
                <a:tint val="80000"/>
              </a:schemeClr>
            </a:gs>
            <a:gs pos="100000">
              <a:schemeClr val="phClr">
                <a:shade val="3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sheetPr>
    <tabColor rgb="FFFFFF00"/>
  </sheetPr>
  <dimension ref="A1:I37"/>
  <sheetViews>
    <sheetView view="pageBreakPreview" zoomScale="80" zoomScalePageLayoutView="80" workbookViewId="0">
      <selection activeCell="O16" sqref="O16"/>
    </sheetView>
  </sheetViews>
  <sheetFormatPr defaultColWidth="9.140625" defaultRowHeight="15.75"/>
  <cols>
    <col min="1" max="1" width="56.85546875" style="1" customWidth="1"/>
    <col min="2" max="2" width="69.85546875" style="1" customWidth="1"/>
    <col min="3" max="3" width="26.42578125" style="1" customWidth="1"/>
    <col min="4" max="16384" width="9.140625" style="1"/>
  </cols>
  <sheetData>
    <row r="1" spans="1:3" ht="26.25" customHeight="1">
      <c r="A1" s="2"/>
      <c r="B1" s="172" t="s">
        <v>0</v>
      </c>
      <c r="C1" s="172"/>
    </row>
    <row r="2" spans="1:3" ht="23.25" customHeight="1">
      <c r="A2" s="2"/>
      <c r="B2" s="172" t="s">
        <v>1</v>
      </c>
      <c r="C2" s="172"/>
    </row>
    <row r="3" spans="1:3" ht="31.5" customHeight="1">
      <c r="A3" s="2"/>
      <c r="B3" s="172" t="s">
        <v>300</v>
      </c>
      <c r="C3" s="172"/>
    </row>
    <row r="4" spans="1:3" ht="30" customHeight="1">
      <c r="A4" s="2"/>
      <c r="B4" s="172" t="s">
        <v>2</v>
      </c>
      <c r="C4" s="172"/>
    </row>
    <row r="5" spans="1:3" ht="21.75" customHeight="1">
      <c r="A5" s="2"/>
      <c r="B5" s="3"/>
      <c r="C5" s="3"/>
    </row>
    <row r="6" spans="1:3" ht="36.75" customHeight="1">
      <c r="A6" s="173" t="s">
        <v>347</v>
      </c>
      <c r="B6" s="173"/>
      <c r="C6" s="173"/>
    </row>
    <row r="7" spans="1:3" ht="12" customHeight="1">
      <c r="A7" s="4"/>
      <c r="B7" s="4"/>
      <c r="C7" s="4"/>
    </row>
    <row r="8" spans="1:3" ht="18.75" customHeight="1">
      <c r="A8" s="171" t="s">
        <v>3</v>
      </c>
      <c r="B8" s="171"/>
      <c r="C8" s="171"/>
    </row>
    <row r="9" spans="1:3" ht="16.5" customHeight="1">
      <c r="A9" s="5"/>
      <c r="B9" s="5"/>
      <c r="C9" s="5"/>
    </row>
    <row r="10" spans="1:3" ht="33" customHeight="1">
      <c r="A10" s="6" t="s">
        <v>4</v>
      </c>
      <c r="B10" s="166" t="s">
        <v>348</v>
      </c>
      <c r="C10" s="166"/>
    </row>
    <row r="11" spans="1:3" ht="34.5" customHeight="1">
      <c r="A11" s="6" t="s">
        <v>5</v>
      </c>
      <c r="B11" s="166" t="s">
        <v>6</v>
      </c>
      <c r="C11" s="166"/>
    </row>
    <row r="12" spans="1:3" ht="15.75" customHeight="1">
      <c r="A12" s="6" t="s">
        <v>7</v>
      </c>
      <c r="B12" s="166" t="s">
        <v>8</v>
      </c>
      <c r="C12" s="166"/>
    </row>
    <row r="13" spans="1:3" ht="31.5" customHeight="1">
      <c r="A13" s="6" t="s">
        <v>9</v>
      </c>
      <c r="B13" s="167" t="s">
        <v>10</v>
      </c>
      <c r="C13" s="167"/>
    </row>
    <row r="14" spans="1:3" ht="32.25" customHeight="1">
      <c r="A14" s="169" t="s">
        <v>11</v>
      </c>
      <c r="B14" s="168" t="s">
        <v>12</v>
      </c>
      <c r="C14" s="168"/>
    </row>
    <row r="15" spans="1:3" ht="29.25" hidden="1" customHeight="1">
      <c r="A15" s="169"/>
      <c r="B15" s="168" t="s">
        <v>13</v>
      </c>
      <c r="C15" s="168"/>
    </row>
    <row r="16" spans="1:3" ht="37.5" customHeight="1">
      <c r="A16" s="166" t="s">
        <v>14</v>
      </c>
      <c r="B16" s="8" t="s">
        <v>15</v>
      </c>
      <c r="C16" s="8" t="s">
        <v>16</v>
      </c>
    </row>
    <row r="17" spans="1:9" ht="23.25" customHeight="1">
      <c r="A17" s="166"/>
      <c r="B17" s="7" t="s">
        <v>17</v>
      </c>
      <c r="C17" s="9">
        <f>'5. Финансиров 20.02.2025'!O61</f>
        <v>118847108.93942398</v>
      </c>
    </row>
    <row r="18" spans="1:9" ht="19.5" customHeight="1">
      <c r="A18" s="166"/>
      <c r="B18" s="6" t="s">
        <v>18</v>
      </c>
      <c r="C18" s="9">
        <f>'5. Финансиров 20.02.2025'!O62</f>
        <v>118287380.075424</v>
      </c>
      <c r="F18" s="1" t="s">
        <v>19</v>
      </c>
    </row>
    <row r="19" spans="1:9" ht="25.5" customHeight="1">
      <c r="A19" s="166"/>
      <c r="B19" s="6" t="s">
        <v>20</v>
      </c>
      <c r="C19" s="9">
        <f>'5. Финансиров 20.02.2025'!O63</f>
        <v>12996146.099999998</v>
      </c>
    </row>
    <row r="20" spans="1:9" ht="36.75" customHeight="1">
      <c r="A20" s="166"/>
      <c r="B20" s="6" t="s">
        <v>21</v>
      </c>
      <c r="C20" s="9"/>
    </row>
    <row r="21" spans="1:9" ht="19.5" customHeight="1">
      <c r="A21" s="166"/>
      <c r="B21" s="10" t="s">
        <v>22</v>
      </c>
      <c r="C21" s="9">
        <f>'5. Финансиров 20.02.2025'!O65</f>
        <v>10746557</v>
      </c>
    </row>
    <row r="22" spans="1:9" ht="57.75" customHeight="1">
      <c r="A22" s="166"/>
      <c r="B22" s="6" t="s">
        <v>23</v>
      </c>
      <c r="C22" s="9"/>
    </row>
    <row r="23" spans="1:9" ht="48.75" customHeight="1">
      <c r="A23" s="166"/>
      <c r="B23" s="6" t="s">
        <v>24</v>
      </c>
      <c r="C23" s="9"/>
    </row>
    <row r="24" spans="1:9" ht="22.5" customHeight="1">
      <c r="A24" s="166"/>
      <c r="B24" s="6" t="s">
        <v>25</v>
      </c>
      <c r="C24" s="11">
        <f>'5. Финансиров 20.02.2025'!O68</f>
        <v>544536.66399999999</v>
      </c>
    </row>
    <row r="25" spans="1:9" ht="22.5" customHeight="1">
      <c r="A25" s="166"/>
      <c r="B25" s="6" t="s">
        <v>26</v>
      </c>
      <c r="C25" s="9">
        <f>'5. Финансиров 20.02.2025'!O70</f>
        <v>15192.1</v>
      </c>
    </row>
    <row r="26" spans="1:9" ht="24" customHeight="1">
      <c r="A26" s="166"/>
      <c r="B26" s="6" t="s">
        <v>27</v>
      </c>
      <c r="C26" s="9"/>
    </row>
    <row r="27" spans="1:9" ht="24.75" customHeight="1">
      <c r="A27" s="169" t="s">
        <v>28</v>
      </c>
      <c r="B27" s="168" t="s">
        <v>29</v>
      </c>
      <c r="C27" s="168"/>
      <c r="I27" s="1" t="s">
        <v>30</v>
      </c>
    </row>
    <row r="28" spans="1:9" ht="54.95" customHeight="1">
      <c r="A28" s="169"/>
      <c r="B28" s="170" t="s">
        <v>31</v>
      </c>
      <c r="C28" s="170"/>
    </row>
    <row r="29" spans="1:9" ht="50.25" customHeight="1">
      <c r="A29" s="169"/>
      <c r="B29" s="168" t="s">
        <v>32</v>
      </c>
      <c r="C29" s="168"/>
    </row>
    <row r="30" spans="1:9" ht="48.6" customHeight="1">
      <c r="A30" s="169"/>
      <c r="B30" s="170" t="s">
        <v>33</v>
      </c>
      <c r="C30" s="170"/>
    </row>
    <row r="31" spans="1:9" ht="69" customHeight="1">
      <c r="A31" s="166" t="s">
        <v>34</v>
      </c>
      <c r="B31" s="167" t="s">
        <v>35</v>
      </c>
      <c r="C31" s="167"/>
    </row>
    <row r="32" spans="1:9" ht="76.5" customHeight="1">
      <c r="A32" s="166"/>
      <c r="B32" s="168" t="s">
        <v>36</v>
      </c>
      <c r="C32" s="168"/>
    </row>
    <row r="34" ht="225" customHeight="1"/>
    <row r="37" ht="36" customHeight="1"/>
  </sheetData>
  <mergeCells count="23">
    <mergeCell ref="B1:C1"/>
    <mergeCell ref="B2:C2"/>
    <mergeCell ref="B3:C3"/>
    <mergeCell ref="B4:C4"/>
    <mergeCell ref="A6:C6"/>
    <mergeCell ref="A8:C8"/>
    <mergeCell ref="B10:C10"/>
    <mergeCell ref="B11:C11"/>
    <mergeCell ref="B12:C12"/>
    <mergeCell ref="B13:C13"/>
    <mergeCell ref="A14:A15"/>
    <mergeCell ref="B14:C14"/>
    <mergeCell ref="B15:C15"/>
    <mergeCell ref="A16:A22"/>
    <mergeCell ref="A23:A26"/>
    <mergeCell ref="A31:A32"/>
    <mergeCell ref="B31:C31"/>
    <mergeCell ref="B32:C32"/>
    <mergeCell ref="A27:A30"/>
    <mergeCell ref="B27:C27"/>
    <mergeCell ref="B28:C28"/>
    <mergeCell ref="B29:C29"/>
    <mergeCell ref="B30:C30"/>
  </mergeCells>
  <printOptions horizontalCentered="1"/>
  <pageMargins left="0.39370078740157483" right="0.39370078740157483" top="0.51181102362204722" bottom="0.39370078740157483" header="0.19685039370078741" footer="0.51181102362204722"/>
  <pageSetup paperSize="9" scale="90" firstPageNumber="3" orientation="landscape" useFirstPageNumber="1" horizontalDpi="300" verticalDpi="300" r:id="rId1"/>
  <headerFooter>
    <oddHeader>&amp;C&amp;"Times New Roman,обычный"&amp;12&amp;P</oddHeader>
  </headerFooter>
</worksheet>
</file>

<file path=xl/worksheets/sheet2.xml><?xml version="1.0" encoding="utf-8"?>
<worksheet xmlns="http://schemas.openxmlformats.org/spreadsheetml/2006/main" xmlns:r="http://schemas.openxmlformats.org/officeDocument/2006/relationships">
  <sheetPr>
    <tabColor rgb="FFFFFF00"/>
  </sheetPr>
  <dimension ref="A1:AA17"/>
  <sheetViews>
    <sheetView view="pageBreakPreview" topLeftCell="A15" zoomScale="80" zoomScaleNormal="80" zoomScaleSheetLayoutView="80" workbookViewId="0">
      <selection activeCell="O16" sqref="O16"/>
    </sheetView>
  </sheetViews>
  <sheetFormatPr defaultRowHeight="15.75"/>
  <cols>
    <col min="1" max="1" width="9.140625" style="72"/>
    <col min="2" max="2" width="32" style="72" customWidth="1"/>
    <col min="3" max="3" width="14.5703125" style="72" customWidth="1"/>
    <col min="4" max="4" width="16.5703125" style="72" customWidth="1"/>
    <col min="5" max="5" width="14.85546875" style="72" customWidth="1"/>
    <col min="6" max="6" width="11.85546875" style="72" customWidth="1"/>
    <col min="7" max="7" width="7.7109375" style="72" customWidth="1"/>
    <col min="8" max="8" width="9.140625" style="72" customWidth="1"/>
    <col min="9" max="9" width="9.140625" style="72"/>
    <col min="10" max="10" width="7.85546875" style="72" customWidth="1"/>
    <col min="11" max="11" width="8.28515625" style="72" customWidth="1"/>
    <col min="12" max="12" width="8.42578125" style="72" customWidth="1"/>
    <col min="13" max="13" width="7.85546875" style="72" customWidth="1"/>
    <col min="14" max="14" width="7.5703125" style="72" customWidth="1"/>
    <col min="15" max="15" width="29.5703125" style="72" customWidth="1"/>
    <col min="16" max="16" width="17.7109375" style="72" customWidth="1"/>
    <col min="17" max="17" width="27.140625" style="72" customWidth="1"/>
    <col min="18" max="18" width="22.140625" style="72" customWidth="1"/>
    <col min="19" max="19" width="18.85546875" style="72" hidden="1" customWidth="1"/>
    <col min="20" max="20" width="19.7109375" style="72" hidden="1" customWidth="1"/>
    <col min="21" max="16384" width="9.140625" style="72"/>
  </cols>
  <sheetData>
    <row r="1" spans="1:27" ht="24" hidden="1" customHeight="1">
      <c r="A1" s="71"/>
      <c r="B1" s="71"/>
      <c r="C1" s="71"/>
      <c r="D1" s="71"/>
      <c r="E1" s="71"/>
      <c r="F1" s="71"/>
      <c r="G1" s="71"/>
      <c r="H1" s="71"/>
      <c r="I1" s="71"/>
      <c r="J1" s="71"/>
      <c r="K1" s="71"/>
      <c r="L1" s="71"/>
      <c r="M1" s="71"/>
      <c r="N1" s="71"/>
      <c r="O1" s="185" t="s">
        <v>37</v>
      </c>
      <c r="P1" s="185"/>
      <c r="Q1" s="185"/>
      <c r="R1" s="185"/>
      <c r="S1" s="185"/>
      <c r="T1" s="71"/>
    </row>
    <row r="2" spans="1:27" ht="35.25" hidden="1" customHeight="1">
      <c r="A2" s="71"/>
      <c r="B2" s="71"/>
      <c r="C2" s="71"/>
      <c r="D2" s="71"/>
      <c r="E2" s="71"/>
      <c r="F2" s="71"/>
      <c r="G2" s="71"/>
      <c r="H2" s="71"/>
      <c r="I2" s="71"/>
      <c r="J2" s="71"/>
      <c r="K2" s="71"/>
      <c r="L2" s="71"/>
      <c r="M2" s="71"/>
      <c r="N2" s="71"/>
      <c r="O2" s="186" t="s">
        <v>38</v>
      </c>
      <c r="P2" s="186"/>
      <c r="Q2" s="186"/>
      <c r="R2" s="186"/>
      <c r="S2" s="186"/>
      <c r="T2" s="71"/>
    </row>
    <row r="3" spans="1:27" ht="28.5" hidden="1" customHeight="1">
      <c r="A3" s="71"/>
      <c r="B3" s="71"/>
      <c r="C3" s="71"/>
      <c r="D3" s="71"/>
      <c r="E3" s="71"/>
      <c r="F3" s="71"/>
      <c r="G3" s="71"/>
      <c r="H3" s="71"/>
      <c r="I3" s="71"/>
      <c r="J3" s="71"/>
      <c r="K3" s="71"/>
      <c r="L3" s="71"/>
      <c r="M3" s="71"/>
      <c r="N3" s="71"/>
      <c r="O3" s="185" t="s">
        <v>39</v>
      </c>
      <c r="P3" s="185"/>
      <c r="Q3" s="185"/>
      <c r="R3" s="185"/>
      <c r="S3" s="185"/>
      <c r="T3" s="71"/>
    </row>
    <row r="4" spans="1:27" ht="28.5" hidden="1" customHeight="1">
      <c r="A4" s="71"/>
      <c r="B4" s="71"/>
      <c r="C4" s="71"/>
      <c r="D4" s="71"/>
      <c r="E4" s="71"/>
      <c r="F4" s="71"/>
      <c r="G4" s="71"/>
      <c r="H4" s="71"/>
      <c r="I4" s="71"/>
      <c r="J4" s="71"/>
      <c r="K4" s="71"/>
      <c r="L4" s="71"/>
      <c r="M4" s="71"/>
      <c r="N4" s="71"/>
      <c r="O4" s="185" t="s">
        <v>40</v>
      </c>
      <c r="P4" s="185"/>
      <c r="Q4" s="185"/>
      <c r="R4" s="185"/>
      <c r="S4" s="185"/>
      <c r="T4" s="71"/>
    </row>
    <row r="5" spans="1:27" ht="17.25" hidden="1" customHeight="1">
      <c r="A5" s="71"/>
      <c r="B5" s="71"/>
      <c r="C5" s="71"/>
      <c r="D5" s="71"/>
      <c r="E5" s="71"/>
      <c r="F5" s="71"/>
      <c r="G5" s="71"/>
      <c r="H5" s="71"/>
      <c r="I5" s="71"/>
      <c r="J5" s="71"/>
      <c r="K5" s="71"/>
      <c r="L5" s="71"/>
      <c r="M5" s="71"/>
      <c r="N5" s="71"/>
      <c r="O5" s="73"/>
      <c r="P5" s="73"/>
      <c r="Q5" s="73"/>
      <c r="R5" s="73"/>
      <c r="S5" s="73"/>
      <c r="T5" s="71"/>
    </row>
    <row r="6" spans="1:27" ht="46.5" hidden="1" customHeight="1">
      <c r="A6" s="187" t="s">
        <v>201</v>
      </c>
      <c r="B6" s="187"/>
      <c r="C6" s="187"/>
      <c r="D6" s="187"/>
      <c r="E6" s="187"/>
      <c r="F6" s="187"/>
      <c r="G6" s="187"/>
      <c r="H6" s="187"/>
      <c r="I6" s="187"/>
      <c r="J6" s="187"/>
      <c r="K6" s="187"/>
      <c r="L6" s="187"/>
      <c r="M6" s="187"/>
      <c r="N6" s="187"/>
      <c r="O6" s="187"/>
      <c r="P6" s="187"/>
      <c r="Q6" s="187"/>
      <c r="R6" s="187"/>
      <c r="S6" s="73"/>
      <c r="T6" s="71"/>
    </row>
    <row r="7" spans="1:27" ht="28.5" customHeight="1">
      <c r="A7" s="74"/>
      <c r="B7" s="74"/>
      <c r="C7" s="74"/>
      <c r="D7" s="74"/>
      <c r="E7" s="74"/>
      <c r="F7" s="74"/>
      <c r="G7" s="74"/>
      <c r="H7" s="74"/>
      <c r="I7" s="74"/>
      <c r="J7" s="74"/>
      <c r="K7" s="74"/>
      <c r="L7" s="74"/>
      <c r="M7" s="74"/>
      <c r="N7" s="74"/>
      <c r="O7" s="74"/>
      <c r="P7" s="74"/>
      <c r="Q7" s="74"/>
      <c r="R7" s="74"/>
      <c r="S7" s="73"/>
      <c r="T7" s="71"/>
    </row>
    <row r="8" spans="1:27" ht="24" customHeight="1">
      <c r="A8" s="184" t="s">
        <v>202</v>
      </c>
      <c r="B8" s="184"/>
      <c r="C8" s="184"/>
      <c r="D8" s="184"/>
      <c r="E8" s="184"/>
      <c r="F8" s="184"/>
      <c r="G8" s="184"/>
      <c r="H8" s="184"/>
      <c r="I8" s="184"/>
      <c r="J8" s="184"/>
      <c r="K8" s="184"/>
      <c r="L8" s="184"/>
      <c r="M8" s="184"/>
      <c r="N8" s="184"/>
      <c r="O8" s="184"/>
      <c r="P8" s="184"/>
      <c r="Q8" s="184"/>
      <c r="R8" s="184"/>
      <c r="S8" s="184"/>
      <c r="T8" s="184"/>
    </row>
    <row r="9" spans="1:27" ht="13.5" customHeight="1">
      <c r="A9" s="75"/>
      <c r="B9" s="75"/>
      <c r="C9" s="76"/>
      <c r="D9" s="76"/>
      <c r="E9" s="75"/>
      <c r="F9" s="75"/>
      <c r="G9" s="75"/>
      <c r="H9" s="75"/>
      <c r="I9" s="75"/>
      <c r="J9" s="75"/>
      <c r="K9" s="75"/>
      <c r="L9" s="75"/>
      <c r="M9" s="75"/>
      <c r="N9" s="75"/>
      <c r="O9" s="76"/>
      <c r="P9" s="76"/>
      <c r="Q9" s="75"/>
      <c r="R9" s="75"/>
      <c r="S9" s="75"/>
      <c r="T9" s="75"/>
    </row>
    <row r="10" spans="1:27" ht="43.5" customHeight="1">
      <c r="A10" s="183" t="s">
        <v>44</v>
      </c>
      <c r="B10" s="183" t="s">
        <v>203</v>
      </c>
      <c r="C10" s="181" t="s">
        <v>204</v>
      </c>
      <c r="D10" s="181" t="s">
        <v>205</v>
      </c>
      <c r="E10" s="183" t="s">
        <v>206</v>
      </c>
      <c r="F10" s="183" t="s">
        <v>207</v>
      </c>
      <c r="G10" s="183"/>
      <c r="H10" s="176" t="s">
        <v>208</v>
      </c>
      <c r="I10" s="177"/>
      <c r="J10" s="177"/>
      <c r="K10" s="177"/>
      <c r="L10" s="177"/>
      <c r="M10" s="177"/>
      <c r="N10" s="178"/>
      <c r="O10" s="179" t="s">
        <v>209</v>
      </c>
      <c r="P10" s="181" t="s">
        <v>210</v>
      </c>
      <c r="Q10" s="183" t="s">
        <v>211</v>
      </c>
      <c r="R10" s="183" t="s">
        <v>212</v>
      </c>
      <c r="S10" s="174" t="s">
        <v>213</v>
      </c>
      <c r="T10" s="174" t="s">
        <v>214</v>
      </c>
    </row>
    <row r="11" spans="1:27" ht="93" customHeight="1">
      <c r="A11" s="183"/>
      <c r="B11" s="183"/>
      <c r="C11" s="182"/>
      <c r="D11" s="182"/>
      <c r="E11" s="183"/>
      <c r="F11" s="77" t="s">
        <v>215</v>
      </c>
      <c r="G11" s="77" t="s">
        <v>216</v>
      </c>
      <c r="H11" s="78">
        <v>2024</v>
      </c>
      <c r="I11" s="77">
        <v>2025</v>
      </c>
      <c r="J11" s="77">
        <v>2026</v>
      </c>
      <c r="K11" s="77">
        <v>2027</v>
      </c>
      <c r="L11" s="77">
        <v>2028</v>
      </c>
      <c r="M11" s="77">
        <v>2029</v>
      </c>
      <c r="N11" s="77">
        <v>2030</v>
      </c>
      <c r="O11" s="180"/>
      <c r="P11" s="182"/>
      <c r="Q11" s="183"/>
      <c r="R11" s="183"/>
      <c r="S11" s="174"/>
      <c r="T11" s="174"/>
      <c r="Y11" s="72" t="s">
        <v>217</v>
      </c>
    </row>
    <row r="12" spans="1:27" ht="23.25" customHeight="1">
      <c r="A12" s="77">
        <v>1</v>
      </c>
      <c r="B12" s="77">
        <v>2</v>
      </c>
      <c r="C12" s="77">
        <v>3</v>
      </c>
      <c r="D12" s="77">
        <v>4</v>
      </c>
      <c r="E12" s="77">
        <v>5</v>
      </c>
      <c r="F12" s="77">
        <v>6</v>
      </c>
      <c r="G12" s="77">
        <v>7</v>
      </c>
      <c r="H12" s="77">
        <v>8</v>
      </c>
      <c r="I12" s="77">
        <v>9</v>
      </c>
      <c r="J12" s="77">
        <v>10</v>
      </c>
      <c r="K12" s="77">
        <v>11</v>
      </c>
      <c r="L12" s="77">
        <v>12</v>
      </c>
      <c r="M12" s="77">
        <v>13</v>
      </c>
      <c r="N12" s="77">
        <v>14</v>
      </c>
      <c r="O12" s="77">
        <v>15</v>
      </c>
      <c r="P12" s="77">
        <v>16</v>
      </c>
      <c r="Q12" s="77">
        <v>17</v>
      </c>
      <c r="R12" s="77">
        <v>18</v>
      </c>
      <c r="S12" s="79">
        <v>19</v>
      </c>
      <c r="T12" s="79">
        <v>20</v>
      </c>
    </row>
    <row r="13" spans="1:27" ht="42" customHeight="1">
      <c r="A13" s="175" t="s">
        <v>218</v>
      </c>
      <c r="B13" s="175"/>
      <c r="C13" s="175"/>
      <c r="D13" s="175"/>
      <c r="E13" s="175"/>
      <c r="F13" s="175"/>
      <c r="G13" s="175"/>
      <c r="H13" s="175"/>
      <c r="I13" s="175"/>
      <c r="J13" s="175"/>
      <c r="K13" s="175"/>
      <c r="L13" s="175"/>
      <c r="M13" s="175"/>
      <c r="N13" s="175"/>
      <c r="O13" s="175"/>
      <c r="P13" s="175"/>
      <c r="Q13" s="175"/>
      <c r="R13" s="175"/>
      <c r="S13" s="80"/>
      <c r="T13" s="81"/>
    </row>
    <row r="14" spans="1:27" ht="350.25" customHeight="1">
      <c r="A14" s="82">
        <v>1</v>
      </c>
      <c r="B14" s="83" t="s">
        <v>219</v>
      </c>
      <c r="C14" s="84" t="s">
        <v>220</v>
      </c>
      <c r="D14" s="85" t="s">
        <v>221</v>
      </c>
      <c r="E14" s="82" t="s">
        <v>222</v>
      </c>
      <c r="F14" s="86">
        <v>70.099999999999994</v>
      </c>
      <c r="G14" s="85">
        <v>2022</v>
      </c>
      <c r="H14" s="87">
        <v>70.680501269736112</v>
      </c>
      <c r="I14" s="87">
        <v>72.2</v>
      </c>
      <c r="J14" s="87">
        <v>73</v>
      </c>
      <c r="K14" s="87">
        <v>74</v>
      </c>
      <c r="L14" s="87">
        <v>75</v>
      </c>
      <c r="M14" s="87">
        <v>76</v>
      </c>
      <c r="N14" s="87">
        <v>77</v>
      </c>
      <c r="O14" s="84" t="s">
        <v>223</v>
      </c>
      <c r="P14" s="84" t="s">
        <v>224</v>
      </c>
      <c r="Q14" s="88" t="s">
        <v>225</v>
      </c>
      <c r="R14" s="89" t="s">
        <v>226</v>
      </c>
      <c r="S14" s="90" t="s">
        <v>227</v>
      </c>
      <c r="T14" s="90" t="s">
        <v>227</v>
      </c>
    </row>
    <row r="15" spans="1:27" ht="324" customHeight="1">
      <c r="A15" s="82">
        <v>2</v>
      </c>
      <c r="B15" s="91" t="s">
        <v>228</v>
      </c>
      <c r="C15" s="84" t="s">
        <v>220</v>
      </c>
      <c r="D15" s="85" t="s">
        <v>221</v>
      </c>
      <c r="E15" s="82" t="s">
        <v>222</v>
      </c>
      <c r="F15" s="85">
        <v>82.97</v>
      </c>
      <c r="G15" s="85">
        <v>2022</v>
      </c>
      <c r="H15" s="92">
        <v>85.1</v>
      </c>
      <c r="I15" s="92">
        <v>85.1</v>
      </c>
      <c r="J15" s="92">
        <v>85.1</v>
      </c>
      <c r="K15" s="92">
        <v>85.1</v>
      </c>
      <c r="L15" s="92">
        <v>85.1</v>
      </c>
      <c r="M15" s="92">
        <v>85.1</v>
      </c>
      <c r="N15" s="92">
        <v>85.1</v>
      </c>
      <c r="O15" s="84" t="s">
        <v>223</v>
      </c>
      <c r="P15" s="84" t="s">
        <v>229</v>
      </c>
      <c r="Q15" s="88" t="s">
        <v>225</v>
      </c>
      <c r="R15" s="89" t="s">
        <v>230</v>
      </c>
      <c r="S15" s="90" t="s">
        <v>227</v>
      </c>
      <c r="T15" s="90" t="s">
        <v>227</v>
      </c>
      <c r="Y15" s="72" t="s">
        <v>231</v>
      </c>
      <c r="AA15" s="72" t="s">
        <v>231</v>
      </c>
    </row>
    <row r="16" spans="1:27" ht="190.5" customHeight="1">
      <c r="A16" s="82">
        <v>3</v>
      </c>
      <c r="B16" s="91" t="s">
        <v>232</v>
      </c>
      <c r="C16" s="84" t="s">
        <v>220</v>
      </c>
      <c r="D16" s="85" t="s">
        <v>233</v>
      </c>
      <c r="E16" s="82" t="s">
        <v>234</v>
      </c>
      <c r="F16" s="85">
        <v>2.44</v>
      </c>
      <c r="G16" s="86">
        <v>2022</v>
      </c>
      <c r="H16" s="92">
        <v>2.2200000000000002</v>
      </c>
      <c r="I16" s="92">
        <v>2.2000000000000002</v>
      </c>
      <c r="J16" s="92">
        <v>2.12</v>
      </c>
      <c r="K16" s="92">
        <v>2.04</v>
      </c>
      <c r="L16" s="92">
        <v>1.92</v>
      </c>
      <c r="M16" s="92">
        <v>1.73</v>
      </c>
      <c r="N16" s="92">
        <v>1.48</v>
      </c>
      <c r="O16" s="93" t="s">
        <v>324</v>
      </c>
      <c r="P16" s="84" t="s">
        <v>229</v>
      </c>
      <c r="Q16" s="88" t="s">
        <v>235</v>
      </c>
      <c r="R16" s="93" t="s">
        <v>236</v>
      </c>
      <c r="S16" s="90" t="s">
        <v>227</v>
      </c>
      <c r="T16" s="90" t="s">
        <v>227</v>
      </c>
      <c r="U16" s="94"/>
    </row>
    <row r="17" spans="1:21" ht="134.25" customHeight="1">
      <c r="A17" s="82">
        <v>4</v>
      </c>
      <c r="B17" s="91" t="s">
        <v>237</v>
      </c>
      <c r="C17" s="95" t="s">
        <v>238</v>
      </c>
      <c r="D17" s="85" t="s">
        <v>221</v>
      </c>
      <c r="E17" s="82" t="s">
        <v>239</v>
      </c>
      <c r="F17" s="85">
        <v>905</v>
      </c>
      <c r="G17" s="86">
        <v>2022</v>
      </c>
      <c r="H17" s="85">
        <v>800</v>
      </c>
      <c r="I17" s="85">
        <v>800</v>
      </c>
      <c r="J17" s="85">
        <v>800</v>
      </c>
      <c r="K17" s="85">
        <v>800</v>
      </c>
      <c r="L17" s="85">
        <v>800</v>
      </c>
      <c r="M17" s="85">
        <v>800</v>
      </c>
      <c r="N17" s="85">
        <v>800</v>
      </c>
      <c r="O17" s="84" t="s">
        <v>240</v>
      </c>
      <c r="P17" s="84" t="s">
        <v>229</v>
      </c>
      <c r="Q17" s="88"/>
      <c r="R17" s="84" t="s">
        <v>241</v>
      </c>
      <c r="S17" s="90" t="s">
        <v>227</v>
      </c>
      <c r="T17" s="90" t="s">
        <v>227</v>
      </c>
      <c r="U17" s="94"/>
    </row>
  </sheetData>
  <mergeCells count="20">
    <mergeCell ref="A8:T8"/>
    <mergeCell ref="O1:S1"/>
    <mergeCell ref="O2:S2"/>
    <mergeCell ref="O3:S3"/>
    <mergeCell ref="O4:S4"/>
    <mergeCell ref="A6:R6"/>
    <mergeCell ref="T10:T11"/>
    <mergeCell ref="A13:R13"/>
    <mergeCell ref="H10:N10"/>
    <mergeCell ref="O10:O11"/>
    <mergeCell ref="P10:P11"/>
    <mergeCell ref="Q10:Q11"/>
    <mergeCell ref="R10:R11"/>
    <mergeCell ref="S10:S11"/>
    <mergeCell ref="A10:A11"/>
    <mergeCell ref="B10:B11"/>
    <mergeCell ref="C10:C11"/>
    <mergeCell ref="D10:D11"/>
    <mergeCell ref="E10:E11"/>
    <mergeCell ref="F10:G10"/>
  </mergeCells>
  <printOptions horizontalCentered="1"/>
  <pageMargins left="0.39370078740157483" right="0.39370078740157483" top="0.59055118110236227" bottom="0.39370078740157483" header="0.31496062992125984" footer="0.31496062992125984"/>
  <pageSetup paperSize="9" scale="53" firstPageNumber="5" orientation="landscape" useFirstPageNumber="1" r:id="rId1"/>
  <headerFooter>
    <oddHeader>&amp;C&amp;"Times New Roman,обычный"&amp;12&amp;P</oddHeader>
  </headerFooter>
  <colBreaks count="1" manualBreakCount="1">
    <brk id="18" max="15" man="1"/>
  </colBreaks>
</worksheet>
</file>

<file path=xl/worksheets/sheet3.xml><?xml version="1.0" encoding="utf-8"?>
<worksheet xmlns="http://schemas.openxmlformats.org/spreadsheetml/2006/main" xmlns:r="http://schemas.openxmlformats.org/officeDocument/2006/relationships">
  <sheetPr>
    <tabColor rgb="FFFFFF00"/>
  </sheetPr>
  <dimension ref="A1:Y19"/>
  <sheetViews>
    <sheetView view="pageBreakPreview" zoomScale="80" zoomScaleSheetLayoutView="80" workbookViewId="0">
      <selection activeCell="G11" sqref="G11"/>
    </sheetView>
  </sheetViews>
  <sheetFormatPr defaultRowHeight="15.75"/>
  <cols>
    <col min="1" max="1" width="5.42578125" style="98" customWidth="1"/>
    <col min="2" max="2" width="40" style="98" customWidth="1"/>
    <col min="3" max="3" width="12.28515625" style="98" customWidth="1"/>
    <col min="4" max="4" width="13.5703125" style="98" customWidth="1"/>
    <col min="5" max="5" width="9.140625" style="98"/>
    <col min="6" max="6" width="10.7109375" style="98" customWidth="1"/>
    <col min="7" max="12" width="9.140625" style="98"/>
    <col min="13" max="13" width="11.42578125" style="98" customWidth="1"/>
    <col min="14" max="15" width="9.140625" style="98"/>
    <col min="16" max="16" width="15.28515625" style="98" customWidth="1"/>
    <col min="17" max="16384" width="9.140625" style="98"/>
  </cols>
  <sheetData>
    <row r="1" spans="1:25">
      <c r="A1" s="96" t="str">
        <f>HYPERLINK("#Оглавление!A1","Назад в оглавление")</f>
        <v>Назад в оглавление</v>
      </c>
      <c r="B1" s="97"/>
      <c r="C1" s="97"/>
      <c r="D1" s="97"/>
      <c r="E1" s="97"/>
      <c r="F1" s="97"/>
      <c r="G1" s="97"/>
      <c r="H1" s="97"/>
      <c r="I1" s="97"/>
      <c r="J1" s="97"/>
      <c r="K1" s="97"/>
      <c r="L1" s="97"/>
    </row>
    <row r="2" spans="1:25" ht="41.25" customHeight="1">
      <c r="A2" s="191"/>
      <c r="B2" s="191"/>
      <c r="C2" s="191"/>
      <c r="D2" s="191"/>
      <c r="E2" s="191"/>
      <c r="F2" s="191"/>
      <c r="G2" s="191"/>
      <c r="H2" s="191"/>
      <c r="I2" s="191"/>
      <c r="J2" s="191"/>
      <c r="K2" s="191"/>
      <c r="L2" s="191"/>
      <c r="M2" s="191"/>
      <c r="N2" s="191"/>
      <c r="O2" s="191"/>
      <c r="P2" s="191"/>
      <c r="Q2" s="192"/>
      <c r="R2" s="192"/>
      <c r="S2" s="192"/>
      <c r="T2" s="192"/>
      <c r="U2" s="192"/>
    </row>
    <row r="3" spans="1:25" ht="33.75" customHeight="1">
      <c r="A3" s="184" t="s">
        <v>295</v>
      </c>
      <c r="B3" s="184"/>
      <c r="C3" s="184"/>
      <c r="D3" s="184"/>
      <c r="E3" s="184"/>
      <c r="F3" s="184"/>
      <c r="G3" s="184"/>
      <c r="H3" s="184"/>
      <c r="I3" s="184"/>
      <c r="J3" s="184"/>
      <c r="K3" s="184"/>
      <c r="L3" s="184"/>
      <c r="M3" s="184"/>
      <c r="N3" s="184"/>
      <c r="O3" s="184"/>
      <c r="P3" s="184"/>
    </row>
    <row r="4" spans="1:25" ht="33.75" customHeight="1">
      <c r="A4" s="75"/>
      <c r="B4" s="75"/>
      <c r="C4" s="75"/>
      <c r="D4" s="75"/>
      <c r="E4" s="75"/>
      <c r="F4" s="75"/>
      <c r="G4" s="75"/>
      <c r="H4" s="75"/>
      <c r="I4" s="75"/>
      <c r="J4" s="75"/>
      <c r="K4" s="75"/>
      <c r="L4" s="75"/>
      <c r="M4" s="75"/>
      <c r="N4" s="75"/>
      <c r="O4" s="75"/>
      <c r="P4" s="75"/>
    </row>
    <row r="5" spans="1:25" ht="23.25" customHeight="1">
      <c r="A5" s="193" t="s">
        <v>44</v>
      </c>
      <c r="B5" s="193" t="s">
        <v>203</v>
      </c>
      <c r="C5" s="194" t="s">
        <v>242</v>
      </c>
      <c r="D5" s="193" t="s">
        <v>243</v>
      </c>
      <c r="E5" s="196" t="s">
        <v>244</v>
      </c>
      <c r="F5" s="196"/>
      <c r="G5" s="196"/>
      <c r="H5" s="196"/>
      <c r="I5" s="196"/>
      <c r="J5" s="196"/>
      <c r="K5" s="196"/>
      <c r="L5" s="196"/>
      <c r="M5" s="196"/>
      <c r="N5" s="196"/>
      <c r="O5" s="196"/>
      <c r="P5" s="196" t="s">
        <v>296</v>
      </c>
    </row>
    <row r="6" spans="1:25" ht="51.75" customHeight="1">
      <c r="A6" s="193"/>
      <c r="B6" s="193"/>
      <c r="C6" s="195"/>
      <c r="D6" s="193"/>
      <c r="E6" s="99" t="s">
        <v>245</v>
      </c>
      <c r="F6" s="99" t="s">
        <v>246</v>
      </c>
      <c r="G6" s="99" t="s">
        <v>247</v>
      </c>
      <c r="H6" s="99" t="s">
        <v>248</v>
      </c>
      <c r="I6" s="99" t="s">
        <v>249</v>
      </c>
      <c r="J6" s="99" t="s">
        <v>250</v>
      </c>
      <c r="K6" s="99" t="s">
        <v>251</v>
      </c>
      <c r="L6" s="99" t="s">
        <v>252</v>
      </c>
      <c r="M6" s="99" t="s">
        <v>253</v>
      </c>
      <c r="N6" s="99" t="s">
        <v>254</v>
      </c>
      <c r="O6" s="99" t="s">
        <v>255</v>
      </c>
      <c r="P6" s="196"/>
      <c r="Q6" s="100"/>
      <c r="R6" s="100"/>
      <c r="S6" s="100"/>
      <c r="T6" s="100"/>
      <c r="U6" s="100"/>
      <c r="V6" s="100"/>
      <c r="W6" s="100"/>
      <c r="X6" s="100"/>
    </row>
    <row r="7" spans="1:25" ht="23.25" customHeight="1">
      <c r="A7" s="101">
        <v>1</v>
      </c>
      <c r="B7" s="101">
        <v>2</v>
      </c>
      <c r="C7" s="101">
        <v>3</v>
      </c>
      <c r="D7" s="101">
        <v>4</v>
      </c>
      <c r="E7" s="101">
        <v>5</v>
      </c>
      <c r="F7" s="101">
        <v>6</v>
      </c>
      <c r="G7" s="101">
        <v>7</v>
      </c>
      <c r="H7" s="101">
        <v>8</v>
      </c>
      <c r="I7" s="101">
        <v>9</v>
      </c>
      <c r="J7" s="101">
        <v>10</v>
      </c>
      <c r="K7" s="101">
        <v>11</v>
      </c>
      <c r="L7" s="101">
        <v>12</v>
      </c>
      <c r="M7" s="101">
        <v>13</v>
      </c>
      <c r="N7" s="101">
        <v>14</v>
      </c>
      <c r="O7" s="101">
        <v>15</v>
      </c>
      <c r="P7" s="101">
        <v>16</v>
      </c>
      <c r="Q7" s="100"/>
      <c r="R7" s="100"/>
      <c r="S7" s="100"/>
      <c r="T7" s="100"/>
      <c r="U7" s="100"/>
      <c r="V7" s="100" t="s">
        <v>231</v>
      </c>
      <c r="W7" s="100"/>
      <c r="X7" s="100"/>
    </row>
    <row r="8" spans="1:25" ht="30" customHeight="1">
      <c r="A8" s="102"/>
      <c r="B8" s="188" t="s">
        <v>218</v>
      </c>
      <c r="C8" s="189"/>
      <c r="D8" s="189"/>
      <c r="E8" s="189"/>
      <c r="F8" s="189"/>
      <c r="G8" s="189"/>
      <c r="H8" s="189"/>
      <c r="I8" s="189"/>
      <c r="J8" s="189"/>
      <c r="K8" s="189"/>
      <c r="L8" s="189"/>
      <c r="M8" s="189"/>
      <c r="N8" s="189"/>
      <c r="O8" s="189"/>
      <c r="P8" s="190"/>
      <c r="Q8" s="103"/>
      <c r="R8" s="104"/>
      <c r="S8" s="105"/>
      <c r="T8" s="106"/>
      <c r="U8" s="106"/>
      <c r="V8" s="106"/>
      <c r="W8" s="100"/>
      <c r="X8" s="100"/>
    </row>
    <row r="9" spans="1:25" ht="68.25" customHeight="1">
      <c r="A9" s="107">
        <v>1</v>
      </c>
      <c r="B9" s="81" t="s">
        <v>256</v>
      </c>
      <c r="C9" s="108" t="s">
        <v>220</v>
      </c>
      <c r="D9" s="108" t="s">
        <v>222</v>
      </c>
      <c r="E9" s="108">
        <v>70.7</v>
      </c>
      <c r="F9" s="108">
        <v>70.7</v>
      </c>
      <c r="G9" s="108">
        <v>70.7</v>
      </c>
      <c r="H9" s="108">
        <v>70.7</v>
      </c>
      <c r="I9" s="108">
        <v>70.7</v>
      </c>
      <c r="J9" s="108">
        <v>70.7</v>
      </c>
      <c r="K9" s="108">
        <v>70.7</v>
      </c>
      <c r="L9" s="108">
        <v>70.7</v>
      </c>
      <c r="M9" s="108">
        <v>70.7</v>
      </c>
      <c r="N9" s="108">
        <v>70.7</v>
      </c>
      <c r="O9" s="108">
        <v>70.7</v>
      </c>
      <c r="P9" s="108">
        <v>72.2</v>
      </c>
      <c r="Q9" s="100"/>
      <c r="R9" s="100"/>
      <c r="S9" s="100"/>
      <c r="T9" s="100"/>
      <c r="U9" s="100"/>
      <c r="V9" s="100"/>
      <c r="W9" s="100"/>
      <c r="X9" s="100"/>
    </row>
    <row r="10" spans="1:25" ht="57.75" customHeight="1">
      <c r="A10" s="107">
        <v>2</v>
      </c>
      <c r="B10" s="109" t="s">
        <v>257</v>
      </c>
      <c r="C10" s="108" t="s">
        <v>220</v>
      </c>
      <c r="D10" s="108" t="s">
        <v>222</v>
      </c>
      <c r="E10" s="108">
        <v>85.1</v>
      </c>
      <c r="F10" s="108">
        <v>85.1</v>
      </c>
      <c r="G10" s="108">
        <v>85.1</v>
      </c>
      <c r="H10" s="108">
        <v>85.1</v>
      </c>
      <c r="I10" s="108">
        <v>85.1</v>
      </c>
      <c r="J10" s="108">
        <v>85.1</v>
      </c>
      <c r="K10" s="108">
        <v>85.1</v>
      </c>
      <c r="L10" s="108">
        <v>85.1</v>
      </c>
      <c r="M10" s="108">
        <v>85.1</v>
      </c>
      <c r="N10" s="108">
        <v>85.1</v>
      </c>
      <c r="O10" s="108">
        <v>85.1</v>
      </c>
      <c r="P10" s="108">
        <v>85.1</v>
      </c>
      <c r="Q10" s="100"/>
      <c r="R10" s="100"/>
      <c r="S10" s="100"/>
      <c r="T10" s="100"/>
      <c r="U10" s="100"/>
      <c r="V10" s="100"/>
      <c r="W10" s="100"/>
      <c r="X10" s="100"/>
    </row>
    <row r="11" spans="1:25" ht="72.75" customHeight="1">
      <c r="A11" s="80">
        <v>3</v>
      </c>
      <c r="B11" s="109" t="s">
        <v>258</v>
      </c>
      <c r="C11" s="108" t="s">
        <v>220</v>
      </c>
      <c r="D11" s="108" t="s">
        <v>234</v>
      </c>
      <c r="E11" s="121">
        <v>0.14000000000000001</v>
      </c>
      <c r="F11" s="121">
        <v>0.33</v>
      </c>
      <c r="G11" s="121">
        <v>0.5</v>
      </c>
      <c r="H11" s="121">
        <v>0.63</v>
      </c>
      <c r="I11" s="121">
        <v>0.8</v>
      </c>
      <c r="J11" s="121">
        <v>1.02</v>
      </c>
      <c r="K11" s="121">
        <v>1.23</v>
      </c>
      <c r="L11" s="121">
        <v>1.45</v>
      </c>
      <c r="M11" s="121">
        <v>1.64</v>
      </c>
      <c r="N11" s="121">
        <v>1.87</v>
      </c>
      <c r="O11" s="121">
        <v>2.06</v>
      </c>
      <c r="P11" s="122">
        <v>2.2000000000000002</v>
      </c>
      <c r="Q11" s="100"/>
      <c r="R11" s="100"/>
      <c r="S11" s="100"/>
      <c r="T11" s="100"/>
      <c r="U11" s="100"/>
      <c r="V11" s="100"/>
      <c r="Y11" s="98" t="s">
        <v>231</v>
      </c>
    </row>
    <row r="12" spans="1:25" ht="69.75" customHeight="1">
      <c r="A12" s="80">
        <v>4</v>
      </c>
      <c r="B12" s="109" t="s">
        <v>237</v>
      </c>
      <c r="C12" s="108" t="s">
        <v>259</v>
      </c>
      <c r="D12" s="108" t="s">
        <v>239</v>
      </c>
      <c r="E12" s="110">
        <v>61</v>
      </c>
      <c r="F12" s="110">
        <v>61</v>
      </c>
      <c r="G12" s="110">
        <v>61</v>
      </c>
      <c r="H12" s="110">
        <v>64</v>
      </c>
      <c r="I12" s="110">
        <v>65</v>
      </c>
      <c r="J12" s="110">
        <v>65</v>
      </c>
      <c r="K12" s="110">
        <v>65</v>
      </c>
      <c r="L12" s="110">
        <v>70</v>
      </c>
      <c r="M12" s="110">
        <v>74</v>
      </c>
      <c r="N12" s="110">
        <v>70</v>
      </c>
      <c r="O12" s="110">
        <v>74</v>
      </c>
      <c r="P12" s="108">
        <v>800</v>
      </c>
      <c r="Q12" s="100"/>
      <c r="R12" s="100"/>
      <c r="S12" s="100"/>
      <c r="T12" s="100"/>
      <c r="U12" s="100"/>
      <c r="V12" s="100" t="s">
        <v>19</v>
      </c>
    </row>
    <row r="19" spans="22:22">
      <c r="V19" s="98" t="s">
        <v>260</v>
      </c>
    </row>
  </sheetData>
  <mergeCells count="10">
    <mergeCell ref="B8:P8"/>
    <mergeCell ref="A2:P2"/>
    <mergeCell ref="Q2:U2"/>
    <mergeCell ref="A3:P3"/>
    <mergeCell ref="A5:A6"/>
    <mergeCell ref="B5:B6"/>
    <mergeCell ref="C5:C6"/>
    <mergeCell ref="D5:D6"/>
    <mergeCell ref="E5:O5"/>
    <mergeCell ref="P5:P6"/>
  </mergeCells>
  <printOptions horizontalCentered="1"/>
  <pageMargins left="0.39370078740157483" right="0.39370078740157483" top="0.59055118110236227" bottom="0.59055118110236227" header="0.31496062992125984" footer="0.31496062992125984"/>
  <pageSetup paperSize="9" scale="69" firstPageNumber="7" orientation="landscape" useFirstPageNumber="1" r:id="rId1"/>
  <headerFooter>
    <oddHeader>&amp;C&amp;"Times New Roman,обычный"&amp;12&amp;P</oddHeader>
  </headerFooter>
  <colBreaks count="1" manualBreakCount="1">
    <brk id="16" max="8" man="1"/>
  </colBreaks>
</worksheet>
</file>

<file path=xl/worksheets/sheet4.xml><?xml version="1.0" encoding="utf-8"?>
<worksheet xmlns="http://schemas.openxmlformats.org/spreadsheetml/2006/main" xmlns:r="http://schemas.openxmlformats.org/officeDocument/2006/relationships">
  <sheetPr>
    <tabColor rgb="FFFFFF00"/>
    <pageSetUpPr fitToPage="1"/>
  </sheetPr>
  <dimension ref="A1:J59"/>
  <sheetViews>
    <sheetView view="pageBreakPreview" topLeftCell="A7" zoomScaleSheetLayoutView="100" workbookViewId="0">
      <selection activeCell="E13" sqref="E13"/>
    </sheetView>
  </sheetViews>
  <sheetFormatPr defaultRowHeight="15"/>
  <cols>
    <col min="1" max="1" width="13.140625" style="111" customWidth="1"/>
    <col min="2" max="2" width="61.85546875" style="111" customWidth="1"/>
    <col min="3" max="3" width="59.7109375" style="111" customWidth="1"/>
    <col min="4" max="4" width="58.42578125" style="111" customWidth="1"/>
    <col min="5" max="5" width="52.5703125" style="111" customWidth="1"/>
    <col min="6" max="16384" width="9.140625" style="111"/>
  </cols>
  <sheetData>
    <row r="1" spans="1:7" ht="22.5" customHeight="1">
      <c r="A1" s="223" t="s">
        <v>261</v>
      </c>
      <c r="B1" s="223"/>
      <c r="C1" s="223"/>
      <c r="D1" s="223"/>
    </row>
    <row r="2" spans="1:7" ht="9" customHeight="1">
      <c r="A2" s="112"/>
    </row>
    <row r="3" spans="1:7" ht="15" customHeight="1">
      <c r="A3" s="224" t="s">
        <v>262</v>
      </c>
      <c r="B3" s="224" t="s">
        <v>263</v>
      </c>
      <c r="C3" s="224" t="s">
        <v>264</v>
      </c>
      <c r="D3" s="225" t="s">
        <v>265</v>
      </c>
    </row>
    <row r="4" spans="1:7" ht="21.75" customHeight="1">
      <c r="A4" s="224"/>
      <c r="B4" s="224"/>
      <c r="C4" s="224"/>
      <c r="D4" s="225"/>
    </row>
    <row r="5" spans="1:7" ht="17.25" customHeight="1">
      <c r="A5" s="138">
        <v>1</v>
      </c>
      <c r="B5" s="138">
        <v>2</v>
      </c>
      <c r="C5" s="138">
        <v>3</v>
      </c>
      <c r="D5" s="138">
        <v>4</v>
      </c>
    </row>
    <row r="6" spans="1:7" ht="24" customHeight="1">
      <c r="A6" s="216" t="s">
        <v>58</v>
      </c>
      <c r="B6" s="198" t="s">
        <v>342</v>
      </c>
      <c r="C6" s="198"/>
      <c r="D6" s="198"/>
    </row>
    <row r="7" spans="1:7" ht="24" customHeight="1">
      <c r="A7" s="216"/>
      <c r="B7" s="199" t="s">
        <v>343</v>
      </c>
      <c r="C7" s="199"/>
      <c r="D7" s="199"/>
    </row>
    <row r="8" spans="1:7" ht="25.5" customHeight="1">
      <c r="A8" s="135"/>
      <c r="B8" s="234" t="s">
        <v>266</v>
      </c>
      <c r="C8" s="235"/>
      <c r="D8" s="147" t="s">
        <v>305</v>
      </c>
      <c r="G8" s="111" t="s">
        <v>231</v>
      </c>
    </row>
    <row r="9" spans="1:7" ht="78" customHeight="1">
      <c r="A9" s="113" t="s">
        <v>267</v>
      </c>
      <c r="B9" s="142" t="s">
        <v>306</v>
      </c>
      <c r="C9" s="154" t="s">
        <v>307</v>
      </c>
      <c r="D9" s="152" t="s">
        <v>349</v>
      </c>
    </row>
    <row r="10" spans="1:7" ht="82.5" customHeight="1">
      <c r="A10" s="113" t="s">
        <v>269</v>
      </c>
      <c r="B10" s="142" t="s">
        <v>316</v>
      </c>
      <c r="C10" s="154" t="s">
        <v>315</v>
      </c>
      <c r="D10" s="152" t="s">
        <v>350</v>
      </c>
    </row>
    <row r="11" spans="1:7" ht="57" customHeight="1">
      <c r="A11" s="113" t="s">
        <v>308</v>
      </c>
      <c r="B11" s="142" t="s">
        <v>309</v>
      </c>
      <c r="C11" s="153" t="s">
        <v>310</v>
      </c>
      <c r="D11" s="152" t="s">
        <v>219</v>
      </c>
    </row>
    <row r="12" spans="1:7" ht="22.5" customHeight="1">
      <c r="A12" s="216" t="s">
        <v>60</v>
      </c>
      <c r="B12" s="198" t="s">
        <v>341</v>
      </c>
      <c r="C12" s="198"/>
      <c r="D12" s="198"/>
    </row>
    <row r="13" spans="1:7" ht="21" customHeight="1">
      <c r="A13" s="216"/>
      <c r="B13" s="199" t="s">
        <v>343</v>
      </c>
      <c r="C13" s="199"/>
      <c r="D13" s="199"/>
    </row>
    <row r="14" spans="1:7" ht="22.5" customHeight="1">
      <c r="A14" s="141"/>
      <c r="B14" s="200" t="s">
        <v>266</v>
      </c>
      <c r="C14" s="201"/>
      <c r="D14" s="151" t="s">
        <v>305</v>
      </c>
    </row>
    <row r="15" spans="1:7" ht="57" customHeight="1">
      <c r="A15" s="226" t="s">
        <v>270</v>
      </c>
      <c r="B15" s="230" t="s">
        <v>358</v>
      </c>
      <c r="C15" s="232" t="s">
        <v>314</v>
      </c>
      <c r="D15" s="236" t="s">
        <v>313</v>
      </c>
    </row>
    <row r="16" spans="1:7" ht="57" customHeight="1">
      <c r="A16" s="227"/>
      <c r="B16" s="231"/>
      <c r="C16" s="233"/>
      <c r="D16" s="237"/>
    </row>
    <row r="17" spans="1:9" ht="21" customHeight="1">
      <c r="A17" s="197" t="s">
        <v>62</v>
      </c>
      <c r="B17" s="198" t="s">
        <v>340</v>
      </c>
      <c r="C17" s="198"/>
      <c r="D17" s="198"/>
    </row>
    <row r="18" spans="1:9" ht="31.5" customHeight="1">
      <c r="A18" s="197"/>
      <c r="B18" s="199" t="s">
        <v>343</v>
      </c>
      <c r="C18" s="199"/>
      <c r="D18" s="199"/>
    </row>
    <row r="19" spans="1:9" ht="33" customHeight="1">
      <c r="A19" s="143"/>
      <c r="B19" s="200" t="s">
        <v>266</v>
      </c>
      <c r="C19" s="201"/>
      <c r="D19" s="140" t="s">
        <v>311</v>
      </c>
    </row>
    <row r="20" spans="1:9" ht="151.5" customHeight="1">
      <c r="A20" s="143" t="s">
        <v>271</v>
      </c>
      <c r="B20" s="142" t="s">
        <v>312</v>
      </c>
      <c r="C20" s="146" t="s">
        <v>318</v>
      </c>
      <c r="D20" s="139" t="s">
        <v>272</v>
      </c>
    </row>
    <row r="21" spans="1:9" ht="43.5" customHeight="1">
      <c r="A21" s="208" t="s">
        <v>63</v>
      </c>
      <c r="B21" s="210" t="s">
        <v>339</v>
      </c>
      <c r="C21" s="211"/>
      <c r="D21" s="212"/>
    </row>
    <row r="22" spans="1:9" ht="45" customHeight="1">
      <c r="A22" s="209"/>
      <c r="B22" s="213" t="s">
        <v>351</v>
      </c>
      <c r="C22" s="214"/>
      <c r="D22" s="215"/>
    </row>
    <row r="23" spans="1:9" ht="43.5" customHeight="1">
      <c r="A23" s="141"/>
      <c r="B23" s="207" t="s">
        <v>266</v>
      </c>
      <c r="C23" s="207"/>
      <c r="D23" s="147" t="s">
        <v>345</v>
      </c>
      <c r="E23" s="111" t="s">
        <v>30</v>
      </c>
      <c r="G23" s="111" t="s">
        <v>19</v>
      </c>
    </row>
    <row r="24" spans="1:9" ht="96" customHeight="1">
      <c r="A24" s="136" t="s">
        <v>274</v>
      </c>
      <c r="B24" s="137" t="s">
        <v>352</v>
      </c>
      <c r="C24" s="150" t="s">
        <v>317</v>
      </c>
      <c r="D24" s="149" t="s">
        <v>302</v>
      </c>
      <c r="E24" s="114" t="s">
        <v>30</v>
      </c>
      <c r="F24" s="114"/>
      <c r="H24" s="111" t="s">
        <v>231</v>
      </c>
      <c r="I24" s="111" t="s">
        <v>268</v>
      </c>
    </row>
    <row r="25" spans="1:9" ht="82.5" customHeight="1">
      <c r="A25" s="113" t="s">
        <v>338</v>
      </c>
      <c r="B25" s="165" t="s">
        <v>353</v>
      </c>
      <c r="C25" s="148" t="s">
        <v>299</v>
      </c>
      <c r="D25" s="148" t="s">
        <v>297</v>
      </c>
      <c r="E25" s="114" t="s">
        <v>30</v>
      </c>
      <c r="F25" s="114"/>
    </row>
    <row r="26" spans="1:9" ht="41.25" customHeight="1">
      <c r="A26" s="216" t="s">
        <v>276</v>
      </c>
      <c r="B26" s="198" t="s">
        <v>337</v>
      </c>
      <c r="C26" s="198"/>
      <c r="D26" s="198"/>
      <c r="E26" s="115"/>
      <c r="F26" s="114"/>
    </row>
    <row r="27" spans="1:9" ht="39.75" customHeight="1">
      <c r="A27" s="216"/>
      <c r="B27" s="213" t="s">
        <v>351</v>
      </c>
      <c r="C27" s="214"/>
      <c r="D27" s="215"/>
      <c r="E27" s="115"/>
      <c r="F27" s="114"/>
    </row>
    <row r="28" spans="1:9" ht="33.75" customHeight="1">
      <c r="A28" s="136"/>
      <c r="B28" s="207" t="s">
        <v>266</v>
      </c>
      <c r="C28" s="207"/>
      <c r="D28" s="147" t="s">
        <v>345</v>
      </c>
      <c r="E28" s="115" t="s">
        <v>19</v>
      </c>
      <c r="F28" s="114"/>
    </row>
    <row r="29" spans="1:9" ht="67.5" customHeight="1">
      <c r="A29" s="226" t="s">
        <v>283</v>
      </c>
      <c r="B29" s="238" t="s">
        <v>301</v>
      </c>
      <c r="C29" s="240" t="s">
        <v>355</v>
      </c>
      <c r="D29" s="242" t="s">
        <v>230</v>
      </c>
      <c r="E29" s="114"/>
      <c r="F29" s="114"/>
    </row>
    <row r="30" spans="1:9" ht="128.25" customHeight="1">
      <c r="A30" s="227"/>
      <c r="B30" s="239"/>
      <c r="C30" s="241"/>
      <c r="D30" s="243"/>
      <c r="E30" s="114"/>
      <c r="F30" s="114"/>
    </row>
    <row r="31" spans="1:9" ht="33" customHeight="1">
      <c r="A31" s="197" t="s">
        <v>285</v>
      </c>
      <c r="B31" s="198" t="s">
        <v>336</v>
      </c>
      <c r="C31" s="198"/>
      <c r="D31" s="198"/>
      <c r="E31" s="115"/>
      <c r="F31" s="114"/>
    </row>
    <row r="32" spans="1:9" ht="35.25" customHeight="1">
      <c r="A32" s="197"/>
      <c r="B32" s="213" t="s">
        <v>351</v>
      </c>
      <c r="C32" s="214"/>
      <c r="D32" s="215"/>
      <c r="E32" s="115"/>
      <c r="F32" s="114"/>
    </row>
    <row r="33" spans="1:10" ht="31.5" customHeight="1">
      <c r="A33" s="143"/>
      <c r="B33" s="228" t="s">
        <v>266</v>
      </c>
      <c r="C33" s="229"/>
      <c r="D33" s="146" t="s">
        <v>346</v>
      </c>
      <c r="E33" s="115"/>
      <c r="F33" s="114"/>
    </row>
    <row r="34" spans="1:10" ht="230.25" customHeight="1">
      <c r="A34" s="143" t="s">
        <v>335</v>
      </c>
      <c r="B34" s="142" t="s">
        <v>298</v>
      </c>
      <c r="C34" s="145" t="s">
        <v>354</v>
      </c>
      <c r="D34" s="139" t="s">
        <v>272</v>
      </c>
      <c r="E34" s="114" t="s">
        <v>30</v>
      </c>
      <c r="F34" s="114"/>
    </row>
    <row r="35" spans="1:10" ht="26.25" customHeight="1">
      <c r="A35" s="203" t="s">
        <v>289</v>
      </c>
      <c r="B35" s="205" t="s">
        <v>135</v>
      </c>
      <c r="C35" s="205"/>
      <c r="D35" s="205"/>
      <c r="E35" s="111" t="s">
        <v>231</v>
      </c>
    </row>
    <row r="36" spans="1:10" ht="26.25" customHeight="1">
      <c r="A36" s="204"/>
      <c r="B36" s="199" t="s">
        <v>351</v>
      </c>
      <c r="C36" s="199"/>
      <c r="D36" s="199"/>
    </row>
    <row r="37" spans="1:10" ht="30.75" customHeight="1">
      <c r="A37" s="143"/>
      <c r="B37" s="200" t="s">
        <v>266</v>
      </c>
      <c r="C37" s="201"/>
      <c r="D37" s="116" t="s">
        <v>273</v>
      </c>
      <c r="E37" s="114" t="s">
        <v>231</v>
      </c>
      <c r="H37" s="111" t="s">
        <v>30</v>
      </c>
    </row>
    <row r="38" spans="1:10" ht="61.5" customHeight="1">
      <c r="A38" s="143" t="s">
        <v>290</v>
      </c>
      <c r="B38" s="139" t="s">
        <v>275</v>
      </c>
      <c r="C38" s="116" t="s">
        <v>319</v>
      </c>
      <c r="D38" s="139" t="s">
        <v>303</v>
      </c>
      <c r="E38" s="117" t="s">
        <v>231</v>
      </c>
      <c r="I38" s="111" t="s">
        <v>231</v>
      </c>
    </row>
    <row r="39" spans="1:10" ht="34.5" hidden="1" customHeight="1">
      <c r="A39" s="143"/>
      <c r="B39" s="205" t="s">
        <v>277</v>
      </c>
      <c r="C39" s="205"/>
      <c r="D39" s="205"/>
      <c r="E39" s="114"/>
    </row>
    <row r="40" spans="1:10" ht="36" hidden="1" customHeight="1">
      <c r="A40" s="143"/>
      <c r="B40" s="139" t="s">
        <v>278</v>
      </c>
      <c r="C40" s="206" t="s">
        <v>279</v>
      </c>
      <c r="D40" s="206"/>
      <c r="E40" s="114"/>
    </row>
    <row r="41" spans="1:10" ht="45" hidden="1" customHeight="1">
      <c r="A41" s="143"/>
      <c r="B41" s="118" t="s">
        <v>280</v>
      </c>
      <c r="C41" s="207" t="s">
        <v>281</v>
      </c>
      <c r="D41" s="207" t="s">
        <v>256</v>
      </c>
      <c r="E41" s="114"/>
    </row>
    <row r="42" spans="1:10" ht="24.75" hidden="1" customHeight="1">
      <c r="A42" s="143"/>
      <c r="B42" s="118" t="s">
        <v>282</v>
      </c>
      <c r="C42" s="207"/>
      <c r="D42" s="207"/>
      <c r="E42" s="114"/>
    </row>
    <row r="43" spans="1:10" ht="39.75" customHeight="1">
      <c r="A43" s="143" t="s">
        <v>293</v>
      </c>
      <c r="B43" s="202" t="s">
        <v>85</v>
      </c>
      <c r="C43" s="202"/>
      <c r="D43" s="202"/>
      <c r="E43" s="114"/>
    </row>
    <row r="44" spans="1:10" ht="26.25" customHeight="1">
      <c r="A44" s="143"/>
      <c r="B44" s="200" t="s">
        <v>266</v>
      </c>
      <c r="C44" s="201"/>
      <c r="D44" s="116" t="s">
        <v>273</v>
      </c>
      <c r="E44" s="114"/>
      <c r="J44" s="111" t="s">
        <v>231</v>
      </c>
    </row>
    <row r="45" spans="1:10" ht="51" customHeight="1">
      <c r="A45" s="143" t="s">
        <v>334</v>
      </c>
      <c r="B45" s="139" t="s">
        <v>284</v>
      </c>
      <c r="C45" s="116" t="s">
        <v>320</v>
      </c>
      <c r="D45" s="139" t="s">
        <v>288</v>
      </c>
      <c r="E45" s="117"/>
      <c r="H45" s="111" t="s">
        <v>231</v>
      </c>
    </row>
    <row r="46" spans="1:10" ht="26.25" customHeight="1">
      <c r="A46" s="143" t="s">
        <v>333</v>
      </c>
      <c r="B46" s="205" t="s">
        <v>286</v>
      </c>
      <c r="C46" s="205"/>
      <c r="D46" s="205"/>
    </row>
    <row r="47" spans="1:10" ht="34.5" customHeight="1">
      <c r="A47" s="143"/>
      <c r="B47" s="200" t="s">
        <v>266</v>
      </c>
      <c r="C47" s="201"/>
      <c r="D47" s="116" t="s">
        <v>273</v>
      </c>
      <c r="E47" s="114"/>
      <c r="F47" s="114"/>
    </row>
    <row r="48" spans="1:10" ht="67.5" customHeight="1">
      <c r="A48" s="143" t="s">
        <v>332</v>
      </c>
      <c r="B48" s="118" t="s">
        <v>287</v>
      </c>
      <c r="C48" s="142" t="s">
        <v>321</v>
      </c>
      <c r="D48" s="142" t="s">
        <v>288</v>
      </c>
      <c r="E48" s="119" t="s">
        <v>30</v>
      </c>
      <c r="F48" s="114"/>
      <c r="I48" s="111" t="s">
        <v>231</v>
      </c>
    </row>
    <row r="49" spans="1:10" ht="27.75" customHeight="1">
      <c r="A49" s="143" t="s">
        <v>331</v>
      </c>
      <c r="B49" s="218" t="s">
        <v>95</v>
      </c>
      <c r="C49" s="218"/>
      <c r="D49" s="218"/>
      <c r="E49" s="114"/>
      <c r="F49" s="114"/>
      <c r="J49" s="111" t="s">
        <v>30</v>
      </c>
    </row>
    <row r="50" spans="1:10" ht="31.5" customHeight="1">
      <c r="A50" s="143"/>
      <c r="B50" s="200" t="s">
        <v>266</v>
      </c>
      <c r="C50" s="201"/>
      <c r="D50" s="116" t="s">
        <v>273</v>
      </c>
      <c r="E50" s="114" t="s">
        <v>30</v>
      </c>
      <c r="F50" s="114"/>
    </row>
    <row r="51" spans="1:10" ht="63" customHeight="1">
      <c r="A51" s="143" t="s">
        <v>330</v>
      </c>
      <c r="B51" s="118" t="s">
        <v>291</v>
      </c>
      <c r="C51" s="144" t="s">
        <v>322</v>
      </c>
      <c r="D51" s="144" t="s">
        <v>292</v>
      </c>
    </row>
    <row r="52" spans="1:10" ht="46.5" customHeight="1">
      <c r="A52" s="143" t="s">
        <v>329</v>
      </c>
      <c r="B52" s="219" t="s">
        <v>294</v>
      </c>
      <c r="C52" s="220"/>
      <c r="D52" s="221"/>
      <c r="E52" s="111" t="s">
        <v>231</v>
      </c>
    </row>
    <row r="53" spans="1:10" ht="31.5" customHeight="1">
      <c r="A53" s="143"/>
      <c r="B53" s="200" t="s">
        <v>266</v>
      </c>
      <c r="C53" s="201"/>
      <c r="D53" s="116" t="s">
        <v>273</v>
      </c>
    </row>
    <row r="54" spans="1:10" ht="48.75" customHeight="1">
      <c r="A54" s="143" t="s">
        <v>328</v>
      </c>
      <c r="B54" s="120" t="s">
        <v>356</v>
      </c>
      <c r="C54" s="207" t="s">
        <v>323</v>
      </c>
      <c r="D54" s="222" t="s">
        <v>304</v>
      </c>
      <c r="E54" s="111" t="s">
        <v>231</v>
      </c>
    </row>
    <row r="55" spans="1:10" ht="67.5" customHeight="1">
      <c r="A55" s="143" t="s">
        <v>327</v>
      </c>
      <c r="B55" s="120" t="s">
        <v>357</v>
      </c>
      <c r="C55" s="207"/>
      <c r="D55" s="222"/>
      <c r="E55" s="111" t="s">
        <v>19</v>
      </c>
    </row>
    <row r="56" spans="1:10" ht="21" customHeight="1"/>
    <row r="57" spans="1:10" ht="51" customHeight="1">
      <c r="A57" s="217" t="s">
        <v>326</v>
      </c>
      <c r="B57" s="217"/>
      <c r="C57" s="217"/>
      <c r="D57" s="217"/>
    </row>
    <row r="58" spans="1:10" ht="18" customHeight="1"/>
    <row r="59" spans="1:10" ht="51.75" customHeight="1">
      <c r="A59" s="217" t="s">
        <v>325</v>
      </c>
      <c r="B59" s="217"/>
      <c r="C59" s="217"/>
      <c r="D59" s="217"/>
    </row>
  </sheetData>
  <mergeCells count="57">
    <mergeCell ref="B27:D27"/>
    <mergeCell ref="B23:C23"/>
    <mergeCell ref="B29:B30"/>
    <mergeCell ref="C29:C30"/>
    <mergeCell ref="D29:D30"/>
    <mergeCell ref="A15:A16"/>
    <mergeCell ref="B15:B16"/>
    <mergeCell ref="C15:C16"/>
    <mergeCell ref="A6:A7"/>
    <mergeCell ref="B6:D6"/>
    <mergeCell ref="B7:D7"/>
    <mergeCell ref="B8:C8"/>
    <mergeCell ref="A12:A13"/>
    <mergeCell ref="B12:D12"/>
    <mergeCell ref="B13:D13"/>
    <mergeCell ref="D15:D16"/>
    <mergeCell ref="B14:C14"/>
    <mergeCell ref="B44:C44"/>
    <mergeCell ref="A29:A30"/>
    <mergeCell ref="D41:D42"/>
    <mergeCell ref="B35:D35"/>
    <mergeCell ref="B37:C37"/>
    <mergeCell ref="A31:A32"/>
    <mergeCell ref="B32:D32"/>
    <mergeCell ref="B33:C33"/>
    <mergeCell ref="B31:D31"/>
    <mergeCell ref="A1:D1"/>
    <mergeCell ref="A3:A4"/>
    <mergeCell ref="B3:B4"/>
    <mergeCell ref="C3:C4"/>
    <mergeCell ref="D3:D4"/>
    <mergeCell ref="A59:D59"/>
    <mergeCell ref="B46:D46"/>
    <mergeCell ref="B47:C47"/>
    <mergeCell ref="B49:D49"/>
    <mergeCell ref="B50:C50"/>
    <mergeCell ref="B52:D52"/>
    <mergeCell ref="B53:C53"/>
    <mergeCell ref="C54:C55"/>
    <mergeCell ref="D54:D55"/>
    <mergeCell ref="A57:D57"/>
    <mergeCell ref="A17:A18"/>
    <mergeCell ref="B17:D17"/>
    <mergeCell ref="B18:D18"/>
    <mergeCell ref="B19:C19"/>
    <mergeCell ref="B43:D43"/>
    <mergeCell ref="A35:A36"/>
    <mergeCell ref="B36:D36"/>
    <mergeCell ref="B39:D39"/>
    <mergeCell ref="C40:D40"/>
    <mergeCell ref="C41:C42"/>
    <mergeCell ref="A21:A22"/>
    <mergeCell ref="B21:D21"/>
    <mergeCell ref="B22:D22"/>
    <mergeCell ref="B28:C28"/>
    <mergeCell ref="A26:A27"/>
    <mergeCell ref="B26:D26"/>
  </mergeCells>
  <pageMargins left="0.39370078740157483" right="0.39370078740157483" top="0.39370078740157483" bottom="0.19685039370078741" header="0.11811023622047245" footer="0.31496062992125984"/>
  <pageSetup paperSize="9" scale="71" firstPageNumber="8" fitToHeight="8" orientation="landscape" useFirstPageNumber="1" r:id="rId1"/>
  <headerFooter>
    <oddHeader>&amp;C&amp;"Times New Roman,обычный"&amp;12&amp;P</oddHeader>
  </headerFooter>
</worksheet>
</file>

<file path=xl/worksheets/sheet5.xml><?xml version="1.0" encoding="utf-8"?>
<worksheet xmlns="http://schemas.openxmlformats.org/spreadsheetml/2006/main" xmlns:r="http://schemas.openxmlformats.org/officeDocument/2006/relationships">
  <sheetPr>
    <tabColor rgb="FFFFFF00"/>
  </sheetPr>
  <dimension ref="A1:X229"/>
  <sheetViews>
    <sheetView tabSelected="1" view="pageBreakPreview" topLeftCell="A9" zoomScale="70" zoomScalePageLayoutView="70" workbookViewId="0">
      <pane xSplit="3" ySplit="53" topLeftCell="D62" activePane="bottomRight" state="frozen"/>
      <selection activeCell="A9" sqref="A9"/>
      <selection pane="topRight" activeCell="D9" sqref="D9"/>
      <selection pane="bottomLeft" activeCell="A75" sqref="A75"/>
      <selection pane="bottomRight" activeCell="S64" sqref="S64"/>
    </sheetView>
  </sheetViews>
  <sheetFormatPr defaultColWidth="9.140625" defaultRowHeight="15.75"/>
  <cols>
    <col min="1" max="1" width="7.140625" style="13" customWidth="1"/>
    <col min="2" max="2" width="53" style="13" hidden="1" customWidth="1"/>
    <col min="3" max="3" width="60.85546875" style="13" customWidth="1"/>
    <col min="4" max="4" width="6.42578125" style="13" customWidth="1"/>
    <col min="5" max="5" width="8" style="13" customWidth="1"/>
    <col min="6" max="6" width="16.28515625" style="13" customWidth="1"/>
    <col min="7" max="7" width="9.5703125" style="13" customWidth="1"/>
    <col min="8" max="8" width="14.28515625" style="13" customWidth="1"/>
    <col min="9" max="9" width="13.85546875" style="13" customWidth="1"/>
    <col min="10" max="10" width="14.5703125" style="13" customWidth="1"/>
    <col min="11" max="11" width="14.7109375" style="13" customWidth="1"/>
    <col min="12" max="12" width="14" style="13" customWidth="1"/>
    <col min="13" max="13" width="14.28515625" style="13" customWidth="1"/>
    <col min="14" max="14" width="14.5703125" style="13" customWidth="1"/>
    <col min="15" max="15" width="15.28515625" style="13" customWidth="1"/>
    <col min="16" max="16" width="11.5703125" style="13" hidden="1" customWidth="1"/>
    <col min="17" max="17" width="15.28515625" style="13" customWidth="1"/>
    <col min="18" max="18" width="26.42578125" style="13" customWidth="1"/>
    <col min="19" max="19" width="17.7109375" style="13" customWidth="1"/>
    <col min="20" max="20" width="18.7109375" style="13" customWidth="1"/>
    <col min="21" max="21" width="13" style="13" customWidth="1"/>
    <col min="22" max="22" width="13.140625" style="13" customWidth="1"/>
    <col min="23" max="23" width="14.7109375" style="13" customWidth="1"/>
    <col min="24" max="24" width="15" style="13" customWidth="1"/>
    <col min="25" max="16384" width="9.140625" style="13"/>
  </cols>
  <sheetData>
    <row r="1" spans="1:15" hidden="1">
      <c r="A1" s="14" t="str">
        <f>HYPERLINK("#Оглавление!A1","Назад в оглавление")</f>
        <v>Назад в оглавление</v>
      </c>
    </row>
    <row r="2" spans="1:15" ht="19.5" hidden="1" customHeight="1">
      <c r="A2" s="14"/>
      <c r="K2" s="257" t="s">
        <v>37</v>
      </c>
      <c r="L2" s="257"/>
      <c r="M2" s="257"/>
      <c r="N2" s="257"/>
      <c r="O2" s="257"/>
    </row>
    <row r="3" spans="1:15" ht="48.75" hidden="1" customHeight="1">
      <c r="A3" s="14"/>
      <c r="K3" s="258" t="s">
        <v>38</v>
      </c>
      <c r="L3" s="258"/>
      <c r="M3" s="258"/>
      <c r="N3" s="258"/>
      <c r="O3" s="258"/>
    </row>
    <row r="4" spans="1:15" ht="24.75" hidden="1" customHeight="1">
      <c r="A4" s="14"/>
      <c r="K4" s="257" t="s">
        <v>39</v>
      </c>
      <c r="L4" s="257"/>
      <c r="M4" s="257"/>
      <c r="N4" s="257"/>
      <c r="O4" s="257"/>
    </row>
    <row r="5" spans="1:15" ht="30.75" hidden="1" customHeight="1">
      <c r="A5" s="14"/>
      <c r="K5" s="257" t="s">
        <v>40</v>
      </c>
      <c r="L5" s="257"/>
      <c r="M5" s="257"/>
      <c r="N5" s="257"/>
      <c r="O5" s="257"/>
    </row>
    <row r="6" spans="1:15" hidden="1">
      <c r="A6" s="14"/>
    </row>
    <row r="7" spans="1:15" ht="53.25" hidden="1" customHeight="1">
      <c r="A7" s="259" t="s">
        <v>41</v>
      </c>
      <c r="B7" s="259"/>
      <c r="C7" s="259"/>
      <c r="D7" s="259"/>
      <c r="E7" s="259"/>
      <c r="F7" s="259"/>
      <c r="G7" s="259"/>
      <c r="H7" s="259"/>
      <c r="I7" s="259"/>
      <c r="J7" s="259"/>
      <c r="K7" s="259"/>
      <c r="L7" s="259"/>
      <c r="M7" s="259"/>
      <c r="N7" s="259"/>
      <c r="O7" s="259"/>
    </row>
    <row r="8" spans="1:15" ht="24.75" hidden="1" customHeight="1">
      <c r="A8" s="15"/>
      <c r="B8" s="15"/>
      <c r="C8" s="15"/>
      <c r="D8" s="15"/>
      <c r="E8" s="15"/>
      <c r="F8" s="15"/>
      <c r="G8" s="15"/>
      <c r="H8" s="15"/>
      <c r="I8" s="15"/>
      <c r="J8" s="15"/>
      <c r="K8" s="15"/>
      <c r="L8" s="15"/>
      <c r="M8" s="15"/>
      <c r="N8" s="15"/>
      <c r="O8" s="15"/>
    </row>
    <row r="9" spans="1:15" ht="21.75" customHeight="1">
      <c r="A9" s="255" t="s">
        <v>42</v>
      </c>
      <c r="B9" s="255"/>
      <c r="C9" s="255"/>
      <c r="D9" s="255"/>
      <c r="E9" s="255"/>
      <c r="F9" s="255"/>
      <c r="G9" s="255"/>
      <c r="H9" s="255"/>
      <c r="I9" s="255"/>
      <c r="J9" s="255"/>
      <c r="K9" s="255"/>
      <c r="L9" s="255"/>
      <c r="M9" s="255"/>
      <c r="N9" s="255"/>
      <c r="O9" s="255"/>
    </row>
    <row r="10" spans="1:15" hidden="1">
      <c r="A10" s="16"/>
      <c r="B10" s="16"/>
      <c r="C10" s="16"/>
      <c r="D10" s="16"/>
      <c r="E10" s="16"/>
      <c r="F10" s="16"/>
      <c r="G10" s="16"/>
      <c r="H10" s="16"/>
      <c r="I10" s="16"/>
      <c r="J10" s="16"/>
      <c r="K10" s="16"/>
      <c r="L10" s="16"/>
      <c r="M10" s="16"/>
      <c r="N10" s="16"/>
      <c r="O10" s="17" t="s">
        <v>43</v>
      </c>
    </row>
    <row r="11" spans="1:15" ht="32.25" hidden="1" customHeight="1">
      <c r="A11" s="245" t="s">
        <v>44</v>
      </c>
      <c r="B11" s="245" t="s">
        <v>45</v>
      </c>
      <c r="C11" s="256" t="s">
        <v>15</v>
      </c>
      <c r="D11" s="18"/>
      <c r="E11" s="18"/>
      <c r="F11" s="18"/>
      <c r="G11" s="18"/>
      <c r="H11" s="245" t="s">
        <v>46</v>
      </c>
      <c r="I11" s="245"/>
      <c r="J11" s="245"/>
      <c r="K11" s="245"/>
      <c r="L11" s="245"/>
      <c r="M11" s="245"/>
      <c r="N11" s="245"/>
      <c r="O11" s="245"/>
    </row>
    <row r="12" spans="1:15" ht="19.5" hidden="1" customHeight="1">
      <c r="A12" s="245"/>
      <c r="B12" s="245"/>
      <c r="C12" s="256"/>
      <c r="D12" s="18"/>
      <c r="E12" s="18"/>
      <c r="F12" s="18"/>
      <c r="G12" s="18"/>
      <c r="H12" s="8" t="s">
        <v>47</v>
      </c>
      <c r="I12" s="8" t="s">
        <v>48</v>
      </c>
      <c r="J12" s="8" t="s">
        <v>49</v>
      </c>
      <c r="K12" s="8" t="s">
        <v>50</v>
      </c>
      <c r="L12" s="8" t="s">
        <v>51</v>
      </c>
      <c r="M12" s="8" t="s">
        <v>52</v>
      </c>
      <c r="N12" s="8" t="s">
        <v>53</v>
      </c>
      <c r="O12" s="8" t="s">
        <v>54</v>
      </c>
    </row>
    <row r="13" spans="1:15" hidden="1">
      <c r="A13" s="19">
        <v>1</v>
      </c>
      <c r="B13" s="19">
        <v>2</v>
      </c>
      <c r="C13" s="19">
        <v>3</v>
      </c>
      <c r="D13" s="19"/>
      <c r="E13" s="19"/>
      <c r="F13" s="19"/>
      <c r="G13" s="19"/>
      <c r="H13" s="19">
        <v>4</v>
      </c>
      <c r="I13" s="19">
        <v>5</v>
      </c>
      <c r="J13" s="19">
        <v>6</v>
      </c>
      <c r="K13" s="19">
        <v>7</v>
      </c>
      <c r="L13" s="19">
        <v>8</v>
      </c>
      <c r="M13" s="19">
        <v>9</v>
      </c>
      <c r="N13" s="19">
        <v>10</v>
      </c>
      <c r="O13" s="19">
        <v>11</v>
      </c>
    </row>
    <row r="14" spans="1:15" ht="24" hidden="1" customHeight="1">
      <c r="A14" s="12" t="s">
        <v>55</v>
      </c>
      <c r="B14" s="169" t="s">
        <v>56</v>
      </c>
      <c r="C14" s="12" t="s">
        <v>57</v>
      </c>
      <c r="D14" s="12"/>
      <c r="E14" s="12"/>
      <c r="F14" s="12"/>
      <c r="G14" s="12"/>
      <c r="H14" s="9">
        <f t="shared" ref="H14:N17" si="0">H19+H23+H27+H31+H35+H39+H43+H47+H51</f>
        <v>13730036</v>
      </c>
      <c r="I14" s="9">
        <f t="shared" si="0"/>
        <v>14980954.799999999</v>
      </c>
      <c r="J14" s="9">
        <f t="shared" si="0"/>
        <v>15011989.799999999</v>
      </c>
      <c r="K14" s="9">
        <f t="shared" si="0"/>
        <v>16392115.899999999</v>
      </c>
      <c r="L14" s="9">
        <f t="shared" si="0"/>
        <v>17913964.5</v>
      </c>
      <c r="M14" s="9">
        <f t="shared" si="0"/>
        <v>17610107.599999998</v>
      </c>
      <c r="N14" s="9">
        <f t="shared" si="0"/>
        <v>18467118.800000001</v>
      </c>
      <c r="O14" s="9">
        <f>SUM(H14:N14)</f>
        <v>114106287.39999999</v>
      </c>
    </row>
    <row r="15" spans="1:15" ht="21" hidden="1" customHeight="1">
      <c r="A15" s="12" t="s">
        <v>58</v>
      </c>
      <c r="B15" s="169"/>
      <c r="C15" s="12" t="s">
        <v>59</v>
      </c>
      <c r="D15" s="12"/>
      <c r="E15" s="12"/>
      <c r="F15" s="12"/>
      <c r="G15" s="12"/>
      <c r="H15" s="9">
        <f t="shared" si="0"/>
        <v>1850747.4</v>
      </c>
      <c r="I15" s="9">
        <f t="shared" si="0"/>
        <v>2703755.0999999996</v>
      </c>
      <c r="J15" s="9">
        <f t="shared" si="0"/>
        <v>0</v>
      </c>
      <c r="K15" s="9">
        <f t="shared" si="0"/>
        <v>1067524</v>
      </c>
      <c r="L15" s="9">
        <f t="shared" si="0"/>
        <v>2287340</v>
      </c>
      <c r="M15" s="9">
        <f t="shared" si="0"/>
        <v>1480000</v>
      </c>
      <c r="N15" s="9">
        <f t="shared" si="0"/>
        <v>1778445.7</v>
      </c>
      <c r="O15" s="9">
        <f>SUM(H15:N15)</f>
        <v>11167812.199999999</v>
      </c>
    </row>
    <row r="16" spans="1:15" ht="20.25" hidden="1" customHeight="1">
      <c r="A16" s="12" t="s">
        <v>60</v>
      </c>
      <c r="B16" s="169"/>
      <c r="C16" s="12" t="s">
        <v>61</v>
      </c>
      <c r="D16" s="12"/>
      <c r="E16" s="12"/>
      <c r="F16" s="12"/>
      <c r="G16" s="12"/>
      <c r="H16" s="9">
        <f t="shared" si="0"/>
        <v>11772619.300000001</v>
      </c>
      <c r="I16" s="9">
        <f t="shared" si="0"/>
        <v>12269788.799999999</v>
      </c>
      <c r="J16" s="9">
        <f t="shared" si="0"/>
        <v>15010092.799999999</v>
      </c>
      <c r="K16" s="9">
        <f t="shared" si="0"/>
        <v>15322694.899999999</v>
      </c>
      <c r="L16" s="9">
        <f t="shared" si="0"/>
        <v>15624727.5</v>
      </c>
      <c r="M16" s="9">
        <f t="shared" si="0"/>
        <v>16128210.6</v>
      </c>
      <c r="N16" s="9">
        <f t="shared" si="0"/>
        <v>16686776.1</v>
      </c>
      <c r="O16" s="9">
        <f>SUM(H16:N16)</f>
        <v>102814909.99999999</v>
      </c>
    </row>
    <row r="17" spans="1:15" ht="23.25" hidden="1" customHeight="1">
      <c r="A17" s="12" t="s">
        <v>62</v>
      </c>
      <c r="B17" s="169"/>
      <c r="C17" s="12" t="s">
        <v>25</v>
      </c>
      <c r="D17" s="12"/>
      <c r="E17" s="12"/>
      <c r="F17" s="12"/>
      <c r="G17" s="12"/>
      <c r="H17" s="9">
        <f t="shared" si="0"/>
        <v>106669.3</v>
      </c>
      <c r="I17" s="9">
        <f t="shared" si="0"/>
        <v>7410.9</v>
      </c>
      <c r="J17" s="9">
        <f t="shared" si="0"/>
        <v>1897</v>
      </c>
      <c r="K17" s="9">
        <f t="shared" si="0"/>
        <v>1897</v>
      </c>
      <c r="L17" s="9">
        <f t="shared" si="0"/>
        <v>1897</v>
      </c>
      <c r="M17" s="9">
        <f t="shared" si="0"/>
        <v>1897</v>
      </c>
      <c r="N17" s="9">
        <f t="shared" si="0"/>
        <v>1897</v>
      </c>
      <c r="O17" s="9">
        <f>SUM(H17:N17)</f>
        <v>123565.2</v>
      </c>
    </row>
    <row r="18" spans="1:15" ht="18" hidden="1" customHeight="1">
      <c r="A18" s="12" t="s">
        <v>63</v>
      </c>
      <c r="B18" s="254" t="s">
        <v>64</v>
      </c>
      <c r="C18" s="254"/>
      <c r="D18" s="20"/>
      <c r="E18" s="20"/>
      <c r="F18" s="20"/>
      <c r="G18" s="20"/>
      <c r="H18" s="19"/>
      <c r="I18" s="19"/>
      <c r="J18" s="19"/>
      <c r="K18" s="19"/>
      <c r="L18" s="19"/>
      <c r="M18" s="19"/>
      <c r="N18" s="19"/>
      <c r="O18" s="19"/>
    </row>
    <row r="19" spans="1:15" ht="15.75" hidden="1" customHeight="1">
      <c r="A19" s="12" t="s">
        <v>65</v>
      </c>
      <c r="B19" s="169" t="s">
        <v>66</v>
      </c>
      <c r="C19" s="12" t="s">
        <v>57</v>
      </c>
      <c r="D19" s="12"/>
      <c r="E19" s="12"/>
      <c r="F19" s="12"/>
      <c r="G19" s="12"/>
      <c r="H19" s="11">
        <f>SUM(H20:H22)</f>
        <v>4960648.5</v>
      </c>
      <c r="I19" s="21">
        <f>SUM(I20:I22)</f>
        <v>2903908.1999999997</v>
      </c>
      <c r="J19" s="21">
        <f>SUM(J20:J22)</f>
        <v>673</v>
      </c>
      <c r="K19" s="12"/>
      <c r="L19" s="12"/>
      <c r="M19" s="12"/>
      <c r="N19" s="12"/>
      <c r="O19" s="9">
        <f t="shared" ref="O19:O41" si="1">SUM(H19:N19)</f>
        <v>7865229.6999999993</v>
      </c>
    </row>
    <row r="20" spans="1:15" hidden="1">
      <c r="A20" s="12" t="s">
        <v>58</v>
      </c>
      <c r="B20" s="169"/>
      <c r="C20" s="12" t="s">
        <v>59</v>
      </c>
      <c r="D20" s="12"/>
      <c r="E20" s="12"/>
      <c r="F20" s="12"/>
      <c r="G20" s="12"/>
      <c r="H20" s="11">
        <v>1756093.2</v>
      </c>
      <c r="I20" s="21">
        <v>2673266.7999999998</v>
      </c>
      <c r="J20" s="19">
        <v>0</v>
      </c>
      <c r="K20" s="19"/>
      <c r="L20" s="19"/>
      <c r="M20" s="19"/>
      <c r="N20" s="19"/>
      <c r="O20" s="9">
        <f t="shared" si="1"/>
        <v>4429360</v>
      </c>
    </row>
    <row r="21" spans="1:15" hidden="1">
      <c r="A21" s="12" t="s">
        <v>60</v>
      </c>
      <c r="B21" s="169"/>
      <c r="C21" s="12" t="s">
        <v>67</v>
      </c>
      <c r="D21" s="12"/>
      <c r="E21" s="12"/>
      <c r="F21" s="12"/>
      <c r="G21" s="12"/>
      <c r="H21" s="11">
        <v>3185325</v>
      </c>
      <c r="I21" s="21">
        <v>225127.5</v>
      </c>
      <c r="J21" s="19">
        <v>673</v>
      </c>
      <c r="K21" s="19"/>
      <c r="L21" s="19"/>
      <c r="M21" s="19"/>
      <c r="N21" s="19"/>
      <c r="O21" s="9">
        <f t="shared" si="1"/>
        <v>3411125.5</v>
      </c>
    </row>
    <row r="22" spans="1:15" ht="31.5" hidden="1">
      <c r="A22" s="12" t="s">
        <v>62</v>
      </c>
      <c r="B22" s="169"/>
      <c r="C22" s="12" t="s">
        <v>25</v>
      </c>
      <c r="D22" s="12"/>
      <c r="E22" s="12"/>
      <c r="F22" s="12"/>
      <c r="G22" s="12"/>
      <c r="H22" s="11">
        <v>19230.3</v>
      </c>
      <c r="I22" s="21">
        <v>5513.9</v>
      </c>
      <c r="J22" s="19">
        <v>0</v>
      </c>
      <c r="K22" s="19"/>
      <c r="L22" s="19"/>
      <c r="M22" s="19"/>
      <c r="N22" s="19"/>
      <c r="O22" s="9">
        <f t="shared" si="1"/>
        <v>24744.199999999997</v>
      </c>
    </row>
    <row r="23" spans="1:15" ht="15.75" hidden="1" customHeight="1">
      <c r="A23" s="12" t="s">
        <v>68</v>
      </c>
      <c r="B23" s="169" t="s">
        <v>69</v>
      </c>
      <c r="C23" s="12" t="s">
        <v>57</v>
      </c>
      <c r="D23" s="12"/>
      <c r="E23" s="12"/>
      <c r="F23" s="12"/>
      <c r="G23" s="12"/>
      <c r="H23" s="22">
        <f>SUM(H24:H26)</f>
        <v>36078.699999999997</v>
      </c>
      <c r="I23" s="23">
        <f>SUM(I24:I26)</f>
        <v>31758.7</v>
      </c>
      <c r="J23" s="12"/>
      <c r="K23" s="12"/>
      <c r="L23" s="12"/>
      <c r="M23" s="12"/>
      <c r="N23" s="12"/>
      <c r="O23" s="9">
        <f t="shared" si="1"/>
        <v>67837.399999999994</v>
      </c>
    </row>
    <row r="24" spans="1:15" hidden="1">
      <c r="A24" s="12" t="s">
        <v>70</v>
      </c>
      <c r="B24" s="169"/>
      <c r="C24" s="12" t="s">
        <v>59</v>
      </c>
      <c r="D24" s="12"/>
      <c r="E24" s="12"/>
      <c r="F24" s="12"/>
      <c r="G24" s="12"/>
      <c r="H24" s="22">
        <v>34635.5</v>
      </c>
      <c r="I24" s="23">
        <v>30488.3</v>
      </c>
      <c r="J24" s="19"/>
      <c r="K24" s="19"/>
      <c r="L24" s="19"/>
      <c r="M24" s="19"/>
      <c r="N24" s="19"/>
      <c r="O24" s="9">
        <f t="shared" si="1"/>
        <v>65123.8</v>
      </c>
    </row>
    <row r="25" spans="1:15" ht="17.25" hidden="1" customHeight="1">
      <c r="A25" s="12" t="s">
        <v>71</v>
      </c>
      <c r="B25" s="169"/>
      <c r="C25" s="12" t="s">
        <v>67</v>
      </c>
      <c r="D25" s="12"/>
      <c r="E25" s="12"/>
      <c r="F25" s="12"/>
      <c r="G25" s="12"/>
      <c r="H25" s="22">
        <v>1443.2</v>
      </c>
      <c r="I25" s="23">
        <v>1270.4000000000001</v>
      </c>
      <c r="J25" s="19"/>
      <c r="K25" s="19"/>
      <c r="L25" s="19"/>
      <c r="M25" s="19"/>
      <c r="N25" s="19"/>
      <c r="O25" s="9">
        <f t="shared" si="1"/>
        <v>2713.6000000000004</v>
      </c>
    </row>
    <row r="26" spans="1:15" ht="18.75" hidden="1" customHeight="1">
      <c r="A26" s="12" t="s">
        <v>72</v>
      </c>
      <c r="B26" s="169"/>
      <c r="C26" s="12" t="s">
        <v>25</v>
      </c>
      <c r="D26" s="12"/>
      <c r="E26" s="12"/>
      <c r="F26" s="12"/>
      <c r="G26" s="12"/>
      <c r="H26" s="19"/>
      <c r="I26" s="24"/>
      <c r="J26" s="19"/>
      <c r="K26" s="19"/>
      <c r="L26" s="19"/>
      <c r="M26" s="19"/>
      <c r="N26" s="19"/>
      <c r="O26" s="9">
        <f t="shared" si="1"/>
        <v>0</v>
      </c>
    </row>
    <row r="27" spans="1:15" ht="15.75" hidden="1" customHeight="1">
      <c r="A27" s="12" t="s">
        <v>73</v>
      </c>
      <c r="B27" s="169" t="s">
        <v>74</v>
      </c>
      <c r="C27" s="12" t="s">
        <v>57</v>
      </c>
      <c r="D27" s="12"/>
      <c r="E27" s="12"/>
      <c r="F27" s="12"/>
      <c r="G27" s="12"/>
      <c r="H27" s="22">
        <f>SUM(H28:H30)</f>
        <v>215803</v>
      </c>
      <c r="I27" s="23">
        <f>SUM(I28:I30)</f>
        <v>300000</v>
      </c>
      <c r="J27" s="12"/>
      <c r="K27" s="12"/>
      <c r="L27" s="12"/>
      <c r="M27" s="12"/>
      <c r="N27" s="12"/>
      <c r="O27" s="9">
        <f t="shared" si="1"/>
        <v>515803</v>
      </c>
    </row>
    <row r="28" spans="1:15" hidden="1">
      <c r="A28" s="12" t="s">
        <v>75</v>
      </c>
      <c r="B28" s="169"/>
      <c r="C28" s="12" t="s">
        <v>59</v>
      </c>
      <c r="D28" s="12"/>
      <c r="E28" s="12"/>
      <c r="F28" s="12"/>
      <c r="G28" s="12"/>
      <c r="H28" s="19"/>
      <c r="I28" s="24"/>
      <c r="J28" s="19"/>
      <c r="K28" s="19"/>
      <c r="L28" s="19"/>
      <c r="M28" s="19"/>
      <c r="N28" s="19"/>
      <c r="O28" s="9">
        <f t="shared" si="1"/>
        <v>0</v>
      </c>
    </row>
    <row r="29" spans="1:15" hidden="1">
      <c r="A29" s="12" t="s">
        <v>76</v>
      </c>
      <c r="B29" s="169"/>
      <c r="C29" s="12" t="s">
        <v>67</v>
      </c>
      <c r="D29" s="12"/>
      <c r="E29" s="12"/>
      <c r="F29" s="12"/>
      <c r="G29" s="12"/>
      <c r="H29" s="22">
        <v>215803</v>
      </c>
      <c r="I29" s="23">
        <v>300000</v>
      </c>
      <c r="J29" s="19"/>
      <c r="K29" s="19"/>
      <c r="L29" s="19"/>
      <c r="M29" s="19"/>
      <c r="N29" s="19"/>
      <c r="O29" s="9">
        <f t="shared" si="1"/>
        <v>515803</v>
      </c>
    </row>
    <row r="30" spans="1:15" ht="31.5" hidden="1">
      <c r="A30" s="12" t="s">
        <v>77</v>
      </c>
      <c r="B30" s="169"/>
      <c r="C30" s="12" t="s">
        <v>25</v>
      </c>
      <c r="D30" s="12"/>
      <c r="E30" s="12"/>
      <c r="F30" s="12"/>
      <c r="G30" s="12"/>
      <c r="H30" s="19"/>
      <c r="I30" s="24"/>
      <c r="J30" s="19"/>
      <c r="K30" s="19"/>
      <c r="L30" s="19"/>
      <c r="M30" s="19"/>
      <c r="N30" s="19"/>
      <c r="O30" s="9">
        <f t="shared" si="1"/>
        <v>0</v>
      </c>
    </row>
    <row r="31" spans="1:15" ht="15.75" hidden="1" customHeight="1">
      <c r="A31" s="12" t="s">
        <v>78</v>
      </c>
      <c r="B31" s="169" t="s">
        <v>79</v>
      </c>
      <c r="C31" s="12" t="s">
        <v>57</v>
      </c>
      <c r="D31" s="12"/>
      <c r="E31" s="12"/>
      <c r="F31" s="12"/>
      <c r="G31" s="12"/>
      <c r="H31" s="11">
        <f t="shared" ref="H31:N31" si="2">SUM(H32:H34)</f>
        <v>47730.3</v>
      </c>
      <c r="I31" s="21">
        <f t="shared" si="2"/>
        <v>0</v>
      </c>
      <c r="J31" s="21">
        <f t="shared" si="2"/>
        <v>0</v>
      </c>
      <c r="K31" s="21">
        <f t="shared" si="2"/>
        <v>0</v>
      </c>
      <c r="L31" s="21">
        <f t="shared" si="2"/>
        <v>0</v>
      </c>
      <c r="M31" s="21">
        <f t="shared" si="2"/>
        <v>0</v>
      </c>
      <c r="N31" s="21">
        <f t="shared" si="2"/>
        <v>0</v>
      </c>
      <c r="O31" s="9">
        <f t="shared" si="1"/>
        <v>47730.3</v>
      </c>
    </row>
    <row r="32" spans="1:15" hidden="1">
      <c r="A32" s="12" t="s">
        <v>80</v>
      </c>
      <c r="B32" s="169"/>
      <c r="C32" s="12" t="s">
        <v>59</v>
      </c>
      <c r="D32" s="12"/>
      <c r="E32" s="12"/>
      <c r="F32" s="12"/>
      <c r="G32" s="12"/>
      <c r="H32" s="11">
        <v>36275</v>
      </c>
      <c r="I32" s="21"/>
      <c r="J32" s="9"/>
      <c r="K32" s="9"/>
      <c r="L32" s="9"/>
      <c r="M32" s="9"/>
      <c r="N32" s="9"/>
      <c r="O32" s="9">
        <f t="shared" si="1"/>
        <v>36275</v>
      </c>
    </row>
    <row r="33" spans="1:15" hidden="1">
      <c r="A33" s="12" t="s">
        <v>81</v>
      </c>
      <c r="B33" s="169"/>
      <c r="C33" s="12" t="s">
        <v>67</v>
      </c>
      <c r="D33" s="12"/>
      <c r="E33" s="12"/>
      <c r="F33" s="12"/>
      <c r="G33" s="12"/>
      <c r="H33" s="11">
        <v>11455.3</v>
      </c>
      <c r="I33" s="21"/>
      <c r="J33" s="9"/>
      <c r="K33" s="9"/>
      <c r="L33" s="9"/>
      <c r="M33" s="9"/>
      <c r="N33" s="9"/>
      <c r="O33" s="9">
        <f t="shared" si="1"/>
        <v>11455.3</v>
      </c>
    </row>
    <row r="34" spans="1:15" ht="31.5" hidden="1">
      <c r="A34" s="12" t="s">
        <v>82</v>
      </c>
      <c r="B34" s="169"/>
      <c r="C34" s="12" t="s">
        <v>25</v>
      </c>
      <c r="D34" s="12"/>
      <c r="E34" s="12"/>
      <c r="F34" s="12"/>
      <c r="G34" s="12"/>
      <c r="H34" s="19"/>
      <c r="I34" s="24"/>
      <c r="J34" s="19"/>
      <c r="K34" s="19"/>
      <c r="L34" s="19"/>
      <c r="M34" s="19"/>
      <c r="N34" s="19"/>
      <c r="O34" s="9">
        <f t="shared" si="1"/>
        <v>0</v>
      </c>
    </row>
    <row r="35" spans="1:15" ht="21.75" hidden="1" customHeight="1">
      <c r="B35" s="169" t="s">
        <v>83</v>
      </c>
      <c r="C35" s="12" t="s">
        <v>57</v>
      </c>
      <c r="D35" s="12"/>
      <c r="E35" s="12"/>
      <c r="F35" s="12"/>
      <c r="G35" s="12"/>
      <c r="H35" s="25">
        <f t="shared" ref="H35:N35" si="3">SUM(H36:H38)</f>
        <v>0</v>
      </c>
      <c r="I35" s="25">
        <f t="shared" si="3"/>
        <v>0</v>
      </c>
      <c r="J35" s="25">
        <f t="shared" si="3"/>
        <v>0</v>
      </c>
      <c r="K35" s="25">
        <f t="shared" si="3"/>
        <v>0</v>
      </c>
      <c r="L35" s="25">
        <f t="shared" si="3"/>
        <v>0</v>
      </c>
      <c r="M35" s="25">
        <f t="shared" si="3"/>
        <v>0</v>
      </c>
      <c r="N35" s="25">
        <f t="shared" si="3"/>
        <v>0</v>
      </c>
      <c r="O35" s="9">
        <f t="shared" si="1"/>
        <v>0</v>
      </c>
    </row>
    <row r="36" spans="1:15" ht="21.75" hidden="1" customHeight="1">
      <c r="B36" s="169"/>
      <c r="C36" s="12" t="s">
        <v>59</v>
      </c>
      <c r="D36" s="12"/>
      <c r="E36" s="12"/>
      <c r="F36" s="12"/>
      <c r="G36" s="12"/>
      <c r="H36" s="19"/>
      <c r="I36" s="24"/>
      <c r="J36" s="24"/>
      <c r="K36" s="24"/>
      <c r="L36" s="24"/>
      <c r="M36" s="24"/>
      <c r="N36" s="24"/>
      <c r="O36" s="9">
        <f t="shared" si="1"/>
        <v>0</v>
      </c>
    </row>
    <row r="37" spans="1:15" ht="17.25" hidden="1" customHeight="1">
      <c r="B37" s="169"/>
      <c r="C37" s="12" t="s">
        <v>67</v>
      </c>
      <c r="D37" s="12"/>
      <c r="E37" s="12"/>
      <c r="F37" s="12"/>
      <c r="G37" s="12"/>
      <c r="H37" s="19"/>
      <c r="I37" s="24"/>
      <c r="J37" s="24"/>
      <c r="K37" s="24"/>
      <c r="L37" s="24"/>
      <c r="M37" s="24"/>
      <c r="N37" s="24"/>
      <c r="O37" s="9">
        <f t="shared" si="1"/>
        <v>0</v>
      </c>
    </row>
    <row r="38" spans="1:15" ht="21" hidden="1" customHeight="1">
      <c r="B38" s="169"/>
      <c r="C38" s="12" t="s">
        <v>25</v>
      </c>
      <c r="D38" s="12"/>
      <c r="E38" s="12"/>
      <c r="F38" s="12"/>
      <c r="G38" s="12"/>
      <c r="H38" s="19"/>
      <c r="I38" s="24"/>
      <c r="J38" s="24"/>
      <c r="K38" s="24"/>
      <c r="L38" s="24"/>
      <c r="M38" s="24"/>
      <c r="N38" s="24"/>
      <c r="O38" s="9">
        <f t="shared" si="1"/>
        <v>0</v>
      </c>
    </row>
    <row r="39" spans="1:15" ht="15.75" hidden="1" customHeight="1">
      <c r="A39" s="12" t="s">
        <v>84</v>
      </c>
      <c r="B39" s="169" t="s">
        <v>85</v>
      </c>
      <c r="C39" s="12" t="s">
        <v>57</v>
      </c>
      <c r="D39" s="12"/>
      <c r="E39" s="12"/>
      <c r="F39" s="12"/>
      <c r="G39" s="12"/>
      <c r="H39" s="11">
        <f t="shared" ref="H39:N39" si="4">SUM(H40:H42)</f>
        <v>271576.09999999998</v>
      </c>
      <c r="I39" s="21">
        <f t="shared" si="4"/>
        <v>974248</v>
      </c>
      <c r="J39" s="21">
        <f t="shared" si="4"/>
        <v>2271457</v>
      </c>
      <c r="K39" s="21">
        <f t="shared" si="4"/>
        <v>3349870</v>
      </c>
      <c r="L39" s="21">
        <f t="shared" si="4"/>
        <v>4662007</v>
      </c>
      <c r="M39" s="21">
        <f t="shared" si="4"/>
        <v>4148050</v>
      </c>
      <c r="N39" s="21">
        <f t="shared" si="4"/>
        <v>4794557</v>
      </c>
      <c r="O39" s="9">
        <f t="shared" si="1"/>
        <v>20471765.100000001</v>
      </c>
    </row>
    <row r="40" spans="1:15" hidden="1">
      <c r="A40" s="12" t="s">
        <v>86</v>
      </c>
      <c r="B40" s="169"/>
      <c r="C40" s="12" t="s">
        <v>59</v>
      </c>
      <c r="D40" s="12"/>
      <c r="E40" s="12"/>
      <c r="F40" s="12"/>
      <c r="G40" s="12"/>
      <c r="H40" s="11">
        <v>23743.7</v>
      </c>
      <c r="I40" s="21">
        <v>0</v>
      </c>
      <c r="J40" s="9">
        <v>0</v>
      </c>
      <c r="K40" s="9">
        <v>1067524</v>
      </c>
      <c r="L40" s="9">
        <v>2287340</v>
      </c>
      <c r="M40" s="9">
        <v>1480000</v>
      </c>
      <c r="N40" s="9">
        <v>1778445.7</v>
      </c>
      <c r="O40" s="9">
        <f t="shared" si="1"/>
        <v>6637053.4000000004</v>
      </c>
    </row>
    <row r="41" spans="1:15" hidden="1">
      <c r="A41" s="12" t="s">
        <v>87</v>
      </c>
      <c r="B41" s="169"/>
      <c r="C41" s="12" t="s">
        <v>67</v>
      </c>
      <c r="D41" s="12"/>
      <c r="E41" s="12"/>
      <c r="F41" s="12"/>
      <c r="G41" s="12"/>
      <c r="H41" s="11">
        <v>247832.4</v>
      </c>
      <c r="I41" s="21">
        <v>974248</v>
      </c>
      <c r="J41" s="9">
        <v>2271457</v>
      </c>
      <c r="K41" s="9">
        <v>2282346</v>
      </c>
      <c r="L41" s="9">
        <v>2374667</v>
      </c>
      <c r="M41" s="9">
        <v>2668050</v>
      </c>
      <c r="N41" s="9">
        <v>3016111.3</v>
      </c>
      <c r="O41" s="9">
        <f t="shared" si="1"/>
        <v>13834711.699999999</v>
      </c>
    </row>
    <row r="42" spans="1:15" ht="31.5" hidden="1">
      <c r="A42" s="12" t="s">
        <v>88</v>
      </c>
      <c r="B42" s="169"/>
      <c r="C42" s="12" t="s">
        <v>25</v>
      </c>
      <c r="D42" s="12"/>
      <c r="E42" s="12"/>
      <c r="F42" s="12"/>
      <c r="G42" s="12"/>
      <c r="H42" s="19"/>
      <c r="I42" s="21"/>
      <c r="J42" s="9"/>
      <c r="K42" s="9"/>
      <c r="L42" s="9"/>
      <c r="M42" s="9"/>
      <c r="N42" s="9"/>
      <c r="O42" s="9"/>
    </row>
    <row r="43" spans="1:15" ht="15.75" hidden="1" customHeight="1">
      <c r="A43" s="12" t="s">
        <v>89</v>
      </c>
      <c r="B43" s="169" t="s">
        <v>90</v>
      </c>
      <c r="C43" s="12" t="s">
        <v>57</v>
      </c>
      <c r="D43" s="12"/>
      <c r="E43" s="12"/>
      <c r="F43" s="12"/>
      <c r="G43" s="12"/>
      <c r="H43" s="9">
        <f t="shared" ref="H43:N43" si="5">SUM(H44:H46)</f>
        <v>6693344.0999999996</v>
      </c>
      <c r="I43" s="9">
        <f t="shared" si="5"/>
        <v>9258678.0999999996</v>
      </c>
      <c r="J43" s="9">
        <f t="shared" si="5"/>
        <v>11218519</v>
      </c>
      <c r="K43" s="9">
        <f t="shared" si="5"/>
        <v>11511567</v>
      </c>
      <c r="L43" s="9">
        <f t="shared" si="5"/>
        <v>11711567</v>
      </c>
      <c r="M43" s="9">
        <f t="shared" si="5"/>
        <v>11911567</v>
      </c>
      <c r="N43" s="9">
        <f t="shared" si="5"/>
        <v>12111567</v>
      </c>
      <c r="O43" s="9">
        <f t="shared" ref="O43:O54" si="6">SUM(H43:N43)</f>
        <v>74416809.200000003</v>
      </c>
    </row>
    <row r="44" spans="1:15" hidden="1">
      <c r="A44" s="12" t="s">
        <v>91</v>
      </c>
      <c r="B44" s="169"/>
      <c r="C44" s="12" t="s">
        <v>59</v>
      </c>
      <c r="D44" s="12"/>
      <c r="E44" s="12"/>
      <c r="F44" s="12"/>
      <c r="G44" s="12"/>
      <c r="H44" s="19">
        <v>0</v>
      </c>
      <c r="I44" s="19">
        <v>0</v>
      </c>
      <c r="J44" s="19">
        <v>0</v>
      </c>
      <c r="K44" s="19">
        <v>0</v>
      </c>
      <c r="L44" s="19">
        <v>0</v>
      </c>
      <c r="M44" s="19">
        <v>0</v>
      </c>
      <c r="N44" s="19">
        <v>0</v>
      </c>
      <c r="O44" s="9">
        <f t="shared" si="6"/>
        <v>0</v>
      </c>
    </row>
    <row r="45" spans="1:15" hidden="1">
      <c r="A45" s="12" t="s">
        <v>92</v>
      </c>
      <c r="B45" s="169"/>
      <c r="C45" s="12" t="s">
        <v>67</v>
      </c>
      <c r="D45" s="12"/>
      <c r="E45" s="12"/>
      <c r="F45" s="12"/>
      <c r="G45" s="12"/>
      <c r="H45" s="11">
        <v>6607802.0999999996</v>
      </c>
      <c r="I45" s="11">
        <v>9258678.0999999996</v>
      </c>
      <c r="J45" s="11">
        <v>11218519</v>
      </c>
      <c r="K45" s="11">
        <v>11511567</v>
      </c>
      <c r="L45" s="11">
        <v>11711567</v>
      </c>
      <c r="M45" s="11">
        <v>11911567</v>
      </c>
      <c r="N45" s="21">
        <v>12111567</v>
      </c>
      <c r="O45" s="11">
        <f t="shared" si="6"/>
        <v>74331267.200000003</v>
      </c>
    </row>
    <row r="46" spans="1:15" ht="31.5" hidden="1">
      <c r="A46" s="12" t="s">
        <v>93</v>
      </c>
      <c r="B46" s="169"/>
      <c r="C46" s="12" t="s">
        <v>25</v>
      </c>
      <c r="D46" s="12"/>
      <c r="E46" s="12"/>
      <c r="F46" s="12"/>
      <c r="G46" s="12"/>
      <c r="H46" s="11">
        <v>85542</v>
      </c>
      <c r="I46" s="11">
        <v>0</v>
      </c>
      <c r="J46" s="11">
        <v>0</v>
      </c>
      <c r="K46" s="11">
        <v>0</v>
      </c>
      <c r="L46" s="11">
        <v>0</v>
      </c>
      <c r="M46" s="11">
        <v>0</v>
      </c>
      <c r="N46" s="21">
        <v>0</v>
      </c>
      <c r="O46" s="11">
        <f t="shared" si="6"/>
        <v>85542</v>
      </c>
    </row>
    <row r="47" spans="1:15" ht="16.5" hidden="1" customHeight="1">
      <c r="A47" s="12" t="s">
        <v>94</v>
      </c>
      <c r="B47" s="169" t="s">
        <v>95</v>
      </c>
      <c r="C47" s="12" t="s">
        <v>57</v>
      </c>
      <c r="D47" s="12"/>
      <c r="E47" s="12"/>
      <c r="F47" s="12"/>
      <c r="G47" s="12"/>
      <c r="H47" s="9">
        <f t="shared" ref="H47:N47" si="7">SUM(H48:H50)</f>
        <v>1287753</v>
      </c>
      <c r="I47" s="9">
        <f t="shared" si="7"/>
        <v>1287887.7</v>
      </c>
      <c r="J47" s="9">
        <f t="shared" si="7"/>
        <v>1287887.7</v>
      </c>
      <c r="K47" s="9">
        <f t="shared" si="7"/>
        <v>1287887.7</v>
      </c>
      <c r="L47" s="9">
        <f t="shared" si="7"/>
        <v>1287887.7</v>
      </c>
      <c r="M47" s="9">
        <f t="shared" si="7"/>
        <v>1287887.7</v>
      </c>
      <c r="N47" s="9">
        <f t="shared" si="7"/>
        <v>1287887.7</v>
      </c>
      <c r="O47" s="9">
        <f t="shared" si="6"/>
        <v>9015079.2000000011</v>
      </c>
    </row>
    <row r="48" spans="1:15" hidden="1">
      <c r="A48" s="12" t="s">
        <v>96</v>
      </c>
      <c r="B48" s="169"/>
      <c r="C48" s="12" t="s">
        <v>59</v>
      </c>
      <c r="D48" s="12"/>
      <c r="E48" s="12"/>
      <c r="F48" s="12"/>
      <c r="G48" s="12"/>
      <c r="H48" s="19"/>
      <c r="I48" s="19"/>
      <c r="J48" s="19"/>
      <c r="K48" s="19"/>
      <c r="L48" s="19"/>
      <c r="M48" s="19"/>
      <c r="N48" s="19"/>
      <c r="O48" s="9">
        <f t="shared" si="6"/>
        <v>0</v>
      </c>
    </row>
    <row r="49" spans="1:24" ht="18" hidden="1" customHeight="1">
      <c r="A49" s="12" t="s">
        <v>97</v>
      </c>
      <c r="B49" s="169"/>
      <c r="C49" s="12" t="s">
        <v>67</v>
      </c>
      <c r="D49" s="12"/>
      <c r="E49" s="12"/>
      <c r="F49" s="12"/>
      <c r="G49" s="12"/>
      <c r="H49" s="11">
        <v>1285856</v>
      </c>
      <c r="I49" s="11">
        <v>1285990.7</v>
      </c>
      <c r="J49" s="11">
        <v>1285990.7</v>
      </c>
      <c r="K49" s="11">
        <v>1285990.7</v>
      </c>
      <c r="L49" s="11">
        <v>1285990.7</v>
      </c>
      <c r="M49" s="11">
        <v>1285990.7</v>
      </c>
      <c r="N49" s="11">
        <v>1285990.7</v>
      </c>
      <c r="O49" s="9">
        <f t="shared" si="6"/>
        <v>9001800.2000000011</v>
      </c>
    </row>
    <row r="50" spans="1:24" ht="31.5" hidden="1">
      <c r="A50" s="12" t="s">
        <v>98</v>
      </c>
      <c r="B50" s="169"/>
      <c r="C50" s="12" t="s">
        <v>25</v>
      </c>
      <c r="D50" s="12"/>
      <c r="E50" s="12"/>
      <c r="F50" s="12"/>
      <c r="G50" s="12"/>
      <c r="H50" s="11">
        <v>1897</v>
      </c>
      <c r="I50" s="11">
        <v>1897</v>
      </c>
      <c r="J50" s="19">
        <v>1897</v>
      </c>
      <c r="K50" s="19">
        <v>1897</v>
      </c>
      <c r="L50" s="19">
        <v>1897</v>
      </c>
      <c r="M50" s="19">
        <v>1897</v>
      </c>
      <c r="N50" s="19">
        <v>1897</v>
      </c>
      <c r="O50" s="9">
        <f t="shared" si="6"/>
        <v>13279</v>
      </c>
    </row>
    <row r="51" spans="1:24" ht="20.25" hidden="1" customHeight="1">
      <c r="A51" s="12" t="s">
        <v>99</v>
      </c>
      <c r="B51" s="169" t="s">
        <v>100</v>
      </c>
      <c r="C51" s="12" t="s">
        <v>57</v>
      </c>
      <c r="D51" s="12"/>
      <c r="E51" s="12"/>
      <c r="F51" s="12"/>
      <c r="G51" s="12"/>
      <c r="H51" s="11">
        <f t="shared" ref="H51:N51" si="8">SUM(H52:H54)</f>
        <v>217102.3</v>
      </c>
      <c r="I51" s="11">
        <f t="shared" si="8"/>
        <v>224474.1</v>
      </c>
      <c r="J51" s="11">
        <f t="shared" si="8"/>
        <v>233453.1</v>
      </c>
      <c r="K51" s="11">
        <f t="shared" si="8"/>
        <v>242791.2</v>
      </c>
      <c r="L51" s="11">
        <f t="shared" si="8"/>
        <v>252502.8</v>
      </c>
      <c r="M51" s="11">
        <f t="shared" si="8"/>
        <v>262602.90000000002</v>
      </c>
      <c r="N51" s="11">
        <f t="shared" si="8"/>
        <v>273107.09999999998</v>
      </c>
      <c r="O51" s="9">
        <f t="shared" si="6"/>
        <v>1706033.5</v>
      </c>
    </row>
    <row r="52" spans="1:24" ht="22.5" hidden="1" customHeight="1">
      <c r="A52" s="12" t="s">
        <v>101</v>
      </c>
      <c r="B52" s="169"/>
      <c r="C52" s="12" t="s">
        <v>59</v>
      </c>
      <c r="D52" s="12"/>
      <c r="E52" s="12"/>
      <c r="F52" s="12"/>
      <c r="G52" s="12"/>
      <c r="H52" s="19"/>
      <c r="I52" s="19"/>
      <c r="J52" s="19"/>
      <c r="K52" s="19"/>
      <c r="L52" s="19"/>
      <c r="M52" s="19"/>
      <c r="N52" s="19"/>
      <c r="O52" s="9">
        <f t="shared" si="6"/>
        <v>0</v>
      </c>
    </row>
    <row r="53" spans="1:24" ht="19.5" hidden="1" customHeight="1">
      <c r="A53" s="12" t="s">
        <v>102</v>
      </c>
      <c r="B53" s="169"/>
      <c r="C53" s="12" t="s">
        <v>67</v>
      </c>
      <c r="D53" s="12"/>
      <c r="E53" s="12"/>
      <c r="F53" s="12"/>
      <c r="G53" s="12"/>
      <c r="H53" s="11">
        <v>217102.3</v>
      </c>
      <c r="I53" s="11">
        <v>224474.1</v>
      </c>
      <c r="J53" s="11">
        <v>233453.1</v>
      </c>
      <c r="K53" s="11">
        <v>242791.2</v>
      </c>
      <c r="L53" s="11">
        <v>252502.8</v>
      </c>
      <c r="M53" s="11">
        <v>262602.90000000002</v>
      </c>
      <c r="N53" s="11">
        <v>273107.09999999998</v>
      </c>
      <c r="O53" s="9">
        <f t="shared" si="6"/>
        <v>1706033.5</v>
      </c>
    </row>
    <row r="54" spans="1:24" ht="19.5" hidden="1" customHeight="1">
      <c r="A54" s="12" t="s">
        <v>103</v>
      </c>
      <c r="B54" s="169"/>
      <c r="C54" s="12" t="s">
        <v>25</v>
      </c>
      <c r="D54" s="12"/>
      <c r="E54" s="12"/>
      <c r="F54" s="12"/>
      <c r="G54" s="12"/>
      <c r="H54" s="19"/>
      <c r="I54" s="19"/>
      <c r="J54" s="19"/>
      <c r="K54" s="19"/>
      <c r="L54" s="19"/>
      <c r="M54" s="19"/>
      <c r="N54" s="19"/>
      <c r="O54" s="9">
        <f t="shared" si="6"/>
        <v>0</v>
      </c>
    </row>
    <row r="55" spans="1:24" ht="20.25" hidden="1" customHeight="1">
      <c r="A55" s="26"/>
      <c r="B55" s="26"/>
      <c r="C55" s="26"/>
      <c r="D55" s="26"/>
      <c r="E55" s="26"/>
      <c r="F55" s="26"/>
      <c r="G55" s="26"/>
      <c r="H55" s="26"/>
      <c r="I55" s="26"/>
      <c r="J55" s="26"/>
      <c r="K55" s="26"/>
      <c r="L55" s="26"/>
      <c r="M55" s="26"/>
      <c r="N55" s="26"/>
      <c r="O55" s="26"/>
    </row>
    <row r="56" spans="1:24" ht="17.25" customHeight="1">
      <c r="H56" s="27">
        <f>H62-'[2]5. Финансовое обеспечение ГП'!$H$56</f>
        <v>90524.064000001177</v>
      </c>
      <c r="I56" s="27">
        <f>I62-'[2]5. Финансовое обеспечение ГП'!$I$56</f>
        <v>582782</v>
      </c>
      <c r="J56" s="27">
        <f>J62-'[2]5. Финансовое обеспечение ГП'!$J$56</f>
        <v>1504918.4000000022</v>
      </c>
      <c r="K56" s="27">
        <f>K62-'[2]5. Финансовое обеспечение ГП'!$K$56</f>
        <v>2626289.1079999972</v>
      </c>
      <c r="L56" s="27">
        <f>L62-'[2]5. Финансовое обеспечение ГП'!$L$56</f>
        <v>-227255.92768000066</v>
      </c>
      <c r="M56" s="27">
        <f>M62-'[2]5. Финансовое обеспечение ГП'!$M$56</f>
        <v>-243915.13278720155</v>
      </c>
      <c r="N56" s="27">
        <f>N62-'[2]5. Финансовое обеспечение ГП'!$N$56</f>
        <v>245895.3179012984</v>
      </c>
      <c r="O56" s="27">
        <f>O62-'[2]5. Финансовое обеспечение ГП'!$O$56</f>
        <v>4579237.7294339985</v>
      </c>
    </row>
    <row r="57" spans="1:24" ht="24" customHeight="1">
      <c r="A57" s="253" t="s">
        <v>104</v>
      </c>
      <c r="B57" s="253" t="s">
        <v>45</v>
      </c>
      <c r="C57" s="253" t="s">
        <v>105</v>
      </c>
      <c r="D57" s="253" t="s">
        <v>106</v>
      </c>
      <c r="E57" s="253"/>
      <c r="F57" s="253"/>
      <c r="G57" s="253"/>
      <c r="H57" s="253" t="s">
        <v>107</v>
      </c>
      <c r="I57" s="253"/>
      <c r="J57" s="253"/>
      <c r="K57" s="253"/>
      <c r="L57" s="253"/>
      <c r="M57" s="253"/>
      <c r="N57" s="253"/>
      <c r="O57" s="253"/>
    </row>
    <row r="58" spans="1:24" ht="25.5" customHeight="1">
      <c r="A58" s="253"/>
      <c r="B58" s="253"/>
      <c r="C58" s="253"/>
      <c r="D58" s="253" t="s">
        <v>108</v>
      </c>
      <c r="E58" s="253"/>
      <c r="F58" s="253"/>
      <c r="G58" s="253"/>
      <c r="H58" s="133" t="s">
        <v>47</v>
      </c>
      <c r="I58" s="133" t="s">
        <v>48</v>
      </c>
      <c r="J58" s="133" t="s">
        <v>49</v>
      </c>
      <c r="K58" s="133" t="s">
        <v>50</v>
      </c>
      <c r="L58" s="133" t="s">
        <v>51</v>
      </c>
      <c r="M58" s="133" t="s">
        <v>52</v>
      </c>
      <c r="N58" s="133" t="s">
        <v>53</v>
      </c>
      <c r="O58" s="133" t="s">
        <v>54</v>
      </c>
    </row>
    <row r="59" spans="1:24" ht="19.5" customHeight="1">
      <c r="A59" s="133">
        <v>1</v>
      </c>
      <c r="B59" s="133"/>
      <c r="C59" s="133">
        <v>2</v>
      </c>
      <c r="D59" s="133">
        <v>3</v>
      </c>
      <c r="E59" s="133">
        <v>4</v>
      </c>
      <c r="F59" s="133">
        <v>5</v>
      </c>
      <c r="G59" s="133">
        <v>6</v>
      </c>
      <c r="H59" s="133">
        <v>7</v>
      </c>
      <c r="I59" s="133">
        <v>8</v>
      </c>
      <c r="J59" s="133">
        <v>9</v>
      </c>
      <c r="K59" s="133">
        <v>10</v>
      </c>
      <c r="L59" s="133">
        <v>11</v>
      </c>
      <c r="M59" s="133">
        <v>12</v>
      </c>
      <c r="N59" s="133">
        <v>13</v>
      </c>
      <c r="O59" s="133">
        <v>14</v>
      </c>
    </row>
    <row r="60" spans="1:24" ht="24" customHeight="1">
      <c r="A60" s="127"/>
      <c r="B60" s="127"/>
      <c r="C60" s="244" t="s">
        <v>56</v>
      </c>
      <c r="D60" s="244"/>
      <c r="E60" s="244"/>
      <c r="F60" s="244"/>
      <c r="G60" s="244"/>
      <c r="H60" s="244"/>
      <c r="I60" s="244"/>
      <c r="J60" s="244"/>
      <c r="K60" s="244"/>
      <c r="L60" s="244"/>
      <c r="M60" s="244"/>
      <c r="N60" s="244"/>
      <c r="O60" s="244"/>
    </row>
    <row r="61" spans="1:24" ht="27" customHeight="1">
      <c r="A61" s="127"/>
      <c r="B61" s="127"/>
      <c r="C61" s="126" t="s">
        <v>57</v>
      </c>
      <c r="D61" s="126"/>
      <c r="E61" s="126"/>
      <c r="F61" s="126"/>
      <c r="G61" s="126"/>
      <c r="H61" s="28">
        <f t="shared" ref="H61:N61" si="9">H62+H68+H70</f>
        <v>13380152.464</v>
      </c>
      <c r="I61" s="28">
        <f t="shared" si="9"/>
        <v>16296449.399999999</v>
      </c>
      <c r="J61" s="28">
        <f t="shared" si="9"/>
        <v>17720768.700000003</v>
      </c>
      <c r="K61" s="28">
        <f t="shared" si="9"/>
        <v>18762790.799999997</v>
      </c>
      <c r="L61" s="28">
        <f t="shared" si="9"/>
        <v>16624226.339999998</v>
      </c>
      <c r="M61" s="28">
        <f t="shared" si="9"/>
        <v>17612960.205599997</v>
      </c>
      <c r="N61" s="28">
        <f t="shared" si="9"/>
        <v>18449761.029823996</v>
      </c>
      <c r="O61" s="28">
        <f>SUM(H61:N61)</f>
        <v>118847108.93942398</v>
      </c>
      <c r="Q61" s="13">
        <v>2024</v>
      </c>
      <c r="R61" s="13">
        <v>2025</v>
      </c>
      <c r="S61" s="13">
        <v>2026</v>
      </c>
      <c r="T61" s="13">
        <v>2027</v>
      </c>
      <c r="U61" s="13">
        <v>2028</v>
      </c>
      <c r="V61" s="13">
        <v>2029</v>
      </c>
      <c r="W61" s="13">
        <v>2030</v>
      </c>
      <c r="X61" s="29" t="s">
        <v>109</v>
      </c>
    </row>
    <row r="62" spans="1:24" ht="21.75" customHeight="1">
      <c r="A62" s="127"/>
      <c r="B62" s="245" t="s">
        <v>110</v>
      </c>
      <c r="C62" s="124" t="s">
        <v>18</v>
      </c>
      <c r="D62" s="132">
        <v>828</v>
      </c>
      <c r="E62" s="132"/>
      <c r="F62" s="30"/>
      <c r="G62" s="132"/>
      <c r="H62" s="11">
        <f>H73+H99+H110+H119+H129+H138+H157+H185+H208</f>
        <v>13217959.9</v>
      </c>
      <c r="I62" s="11">
        <f t="shared" ref="I62:N62" si="10">I81+I100+I110+I119+I129+I138+I157+I185+I208</f>
        <v>16115389.199999999</v>
      </c>
      <c r="J62" s="11">
        <f t="shared" si="10"/>
        <v>17516363.100000001</v>
      </c>
      <c r="K62" s="11">
        <f t="shared" si="10"/>
        <v>18755142.099999998</v>
      </c>
      <c r="L62" s="11">
        <f t="shared" si="10"/>
        <v>16622752.439999998</v>
      </c>
      <c r="M62" s="11">
        <f t="shared" si="10"/>
        <v>17611486.305599999</v>
      </c>
      <c r="N62" s="11">
        <f t="shared" si="10"/>
        <v>18448287.129823998</v>
      </c>
      <c r="O62" s="11">
        <f>SUM(H62:N62)-0.1</f>
        <v>118287380.075424</v>
      </c>
      <c r="Q62" s="31">
        <f>O62+O68+O70</f>
        <v>118847108.839424</v>
      </c>
    </row>
    <row r="63" spans="1:24" ht="31.5">
      <c r="A63" s="127"/>
      <c r="B63" s="245"/>
      <c r="C63" s="124" t="s">
        <v>20</v>
      </c>
      <c r="D63" s="125"/>
      <c r="E63" s="125"/>
      <c r="F63" s="125"/>
      <c r="G63" s="125"/>
      <c r="H63" s="11">
        <f>H90+H101+H111+H120+H130+H148+H176+H199+H213</f>
        <v>69046</v>
      </c>
      <c r="I63" s="11">
        <f>I90+I101+I111+I120+I130+I148+I176+I199+I213</f>
        <v>2886664.7</v>
      </c>
      <c r="J63" s="11">
        <f>J90+J101+J111+J120+J130+J148+J176+J199+J213</f>
        <v>4362137.4999999991</v>
      </c>
      <c r="K63" s="11">
        <f>K90+K101+K111+K120+K130+K148+K176+K199+K213</f>
        <v>5678297.8999999994</v>
      </c>
      <c r="L63" s="11"/>
      <c r="M63" s="11"/>
      <c r="N63" s="11"/>
      <c r="O63" s="11">
        <f>SUM(H63:N63)</f>
        <v>12996146.099999998</v>
      </c>
      <c r="R63" s="31">
        <f>O62-O63</f>
        <v>105291233.97542401</v>
      </c>
      <c r="S63" s="31">
        <f>O61-O185-O208</f>
        <v>106201058.26399998</v>
      </c>
      <c r="T63" s="31"/>
    </row>
    <row r="64" spans="1:24" ht="31.5">
      <c r="A64" s="127"/>
      <c r="B64" s="245"/>
      <c r="C64" s="124" t="s">
        <v>21</v>
      </c>
      <c r="D64" s="125"/>
      <c r="E64" s="125"/>
      <c r="F64" s="125"/>
      <c r="G64" s="125"/>
      <c r="H64" s="11"/>
      <c r="I64" s="11"/>
      <c r="J64" s="11"/>
      <c r="K64" s="11"/>
      <c r="L64" s="11"/>
      <c r="M64" s="11"/>
      <c r="N64" s="11"/>
      <c r="O64" s="11"/>
      <c r="Q64" s="31"/>
      <c r="S64" s="59">
        <f>S63-H61+H185+H208</f>
        <v>94770880.699999988</v>
      </c>
    </row>
    <row r="65" spans="1:24" ht="23.25" customHeight="1">
      <c r="A65" s="127"/>
      <c r="B65" s="245"/>
      <c r="C65" s="10" t="s">
        <v>112</v>
      </c>
      <c r="D65" s="125"/>
      <c r="E65" s="125"/>
      <c r="F65" s="125"/>
      <c r="G65" s="125"/>
      <c r="H65" s="11">
        <f t="shared" ref="H65:O65" si="11">H92+H103+H113+H122+H150+H178+H201+H215</f>
        <v>4201883.5</v>
      </c>
      <c r="I65" s="11">
        <f t="shared" si="11"/>
        <v>3261137.4</v>
      </c>
      <c r="J65" s="11">
        <f t="shared" si="11"/>
        <v>3021681.6999999997</v>
      </c>
      <c r="K65" s="11">
        <f t="shared" si="11"/>
        <v>138017.70000000001</v>
      </c>
      <c r="L65" s="11">
        <f t="shared" si="11"/>
        <v>41278.9</v>
      </c>
      <c r="M65" s="11">
        <f t="shared" si="11"/>
        <v>41278.9</v>
      </c>
      <c r="N65" s="11">
        <f t="shared" si="11"/>
        <v>41278.9</v>
      </c>
      <c r="O65" s="11">
        <f t="shared" si="11"/>
        <v>10746557</v>
      </c>
      <c r="Q65" s="31"/>
    </row>
    <row r="66" spans="1:24" ht="63">
      <c r="A66" s="127"/>
      <c r="B66" s="245"/>
      <c r="C66" s="124" t="s">
        <v>23</v>
      </c>
      <c r="D66" s="125"/>
      <c r="E66" s="125"/>
      <c r="F66" s="125"/>
      <c r="G66" s="125"/>
      <c r="H66" s="11"/>
      <c r="I66" s="11"/>
      <c r="J66" s="11"/>
      <c r="K66" s="11"/>
      <c r="L66" s="11"/>
      <c r="M66" s="11"/>
      <c r="N66" s="11"/>
      <c r="O66" s="11"/>
    </row>
    <row r="67" spans="1:24" ht="48" customHeight="1">
      <c r="A67" s="127"/>
      <c r="B67" s="245"/>
      <c r="C67" s="124" t="s">
        <v>24</v>
      </c>
      <c r="D67" s="125"/>
      <c r="E67" s="125"/>
      <c r="F67" s="125"/>
      <c r="G67" s="125"/>
      <c r="H67" s="11"/>
      <c r="I67" s="11"/>
      <c r="J67" s="11"/>
      <c r="K67" s="11"/>
      <c r="L67" s="11"/>
      <c r="M67" s="11"/>
      <c r="N67" s="11"/>
      <c r="O67" s="11"/>
    </row>
    <row r="68" spans="1:24" ht="22.5" hidden="1" customHeight="1">
      <c r="A68" s="127"/>
      <c r="B68" s="245"/>
      <c r="C68" s="158" t="s">
        <v>344</v>
      </c>
      <c r="D68" s="159"/>
      <c r="E68" s="159"/>
      <c r="F68" s="159"/>
      <c r="G68" s="159"/>
      <c r="H68" s="160">
        <f t="shared" ref="H68:N68" si="12">H95+H106+H125+H153+H181+H204</f>
        <v>157725.96400000001</v>
      </c>
      <c r="I68" s="160">
        <f t="shared" si="12"/>
        <v>181060.2</v>
      </c>
      <c r="J68" s="160">
        <f t="shared" si="12"/>
        <v>193680.1</v>
      </c>
      <c r="K68" s="160">
        <f t="shared" si="12"/>
        <v>7648.7000000000007</v>
      </c>
      <c r="L68" s="160">
        <f t="shared" si="12"/>
        <v>1473.9</v>
      </c>
      <c r="M68" s="160">
        <f t="shared" si="12"/>
        <v>1473.9</v>
      </c>
      <c r="N68" s="160">
        <f t="shared" si="12"/>
        <v>1473.9</v>
      </c>
      <c r="O68" s="160">
        <f>SUM(H68:N68)</f>
        <v>544536.66399999999</v>
      </c>
    </row>
    <row r="69" spans="1:24" ht="22.5" customHeight="1">
      <c r="A69" s="157"/>
      <c r="B69" s="245"/>
      <c r="C69" s="155" t="s">
        <v>25</v>
      </c>
      <c r="D69" s="156"/>
      <c r="E69" s="156"/>
      <c r="F69" s="156"/>
      <c r="G69" s="156"/>
      <c r="H69" s="11">
        <f>H65+H68</f>
        <v>4359609.4639999997</v>
      </c>
      <c r="I69" s="11">
        <f t="shared" ref="I69:O69" si="13">I65+I68</f>
        <v>3442197.6</v>
      </c>
      <c r="J69" s="11">
        <f t="shared" si="13"/>
        <v>3215361.8</v>
      </c>
      <c r="K69" s="11">
        <f t="shared" si="13"/>
        <v>145666.40000000002</v>
      </c>
      <c r="L69" s="11">
        <f t="shared" si="13"/>
        <v>42752.800000000003</v>
      </c>
      <c r="M69" s="11">
        <f t="shared" si="13"/>
        <v>42752.800000000003</v>
      </c>
      <c r="N69" s="11">
        <f t="shared" si="13"/>
        <v>42752.800000000003</v>
      </c>
      <c r="O69" s="11">
        <f t="shared" si="13"/>
        <v>11291093.664000001</v>
      </c>
    </row>
    <row r="70" spans="1:24" ht="18.75" customHeight="1">
      <c r="A70" s="127"/>
      <c r="B70" s="245"/>
      <c r="C70" s="124" t="s">
        <v>26</v>
      </c>
      <c r="D70" s="125"/>
      <c r="E70" s="125"/>
      <c r="F70" s="125"/>
      <c r="G70" s="125"/>
      <c r="H70" s="11">
        <f>H127</f>
        <v>4466.6000000000004</v>
      </c>
      <c r="I70" s="11"/>
      <c r="J70" s="11">
        <f>J127</f>
        <v>10725.5</v>
      </c>
      <c r="K70" s="11"/>
      <c r="L70" s="11"/>
      <c r="M70" s="11"/>
      <c r="N70" s="11"/>
      <c r="O70" s="11">
        <f>SUM(H70:N70)</f>
        <v>15192.1</v>
      </c>
    </row>
    <row r="71" spans="1:24" ht="19.5" customHeight="1">
      <c r="A71" s="127"/>
      <c r="B71" s="245"/>
      <c r="C71" s="124" t="s">
        <v>27</v>
      </c>
      <c r="D71" s="125"/>
      <c r="E71" s="125"/>
      <c r="F71" s="125"/>
      <c r="G71" s="125"/>
      <c r="H71" s="11"/>
      <c r="I71" s="11"/>
      <c r="J71" s="11"/>
      <c r="K71" s="11"/>
      <c r="L71" s="11"/>
      <c r="M71" s="11"/>
      <c r="N71" s="11"/>
      <c r="O71" s="11"/>
    </row>
    <row r="72" spans="1:24" ht="23.25" customHeight="1">
      <c r="A72" s="133" t="s">
        <v>55</v>
      </c>
      <c r="B72" s="124"/>
      <c r="C72" s="244" t="s">
        <v>113</v>
      </c>
      <c r="D72" s="244"/>
      <c r="E72" s="244"/>
      <c r="F72" s="244"/>
      <c r="G72" s="244"/>
      <c r="H72" s="244"/>
      <c r="I72" s="244"/>
      <c r="J72" s="244"/>
      <c r="K72" s="244"/>
      <c r="L72" s="244"/>
      <c r="M72" s="244"/>
      <c r="N72" s="244"/>
      <c r="O72" s="244"/>
      <c r="X72" s="29"/>
    </row>
    <row r="73" spans="1:24" ht="18.75" customHeight="1">
      <c r="A73" s="251"/>
      <c r="B73" s="169" t="s">
        <v>66</v>
      </c>
      <c r="C73" s="252" t="s">
        <v>18</v>
      </c>
      <c r="D73" s="127">
        <v>828</v>
      </c>
      <c r="E73" s="127" t="s">
        <v>111</v>
      </c>
      <c r="F73" s="127" t="s">
        <v>114</v>
      </c>
      <c r="G73" s="127"/>
      <c r="H73" s="11">
        <f>SUM(H74:H80)</f>
        <v>3510841</v>
      </c>
      <c r="I73" s="11"/>
      <c r="J73" s="11"/>
      <c r="K73" s="11"/>
      <c r="L73" s="11"/>
      <c r="M73" s="127"/>
      <c r="N73" s="127"/>
      <c r="O73" s="11">
        <f t="shared" ref="O73:O81" si="14">SUM(H73:N73)</f>
        <v>3510841</v>
      </c>
      <c r="Q73" s="31">
        <f>H73+H95</f>
        <v>3529437.1</v>
      </c>
      <c r="R73" s="31">
        <f>I73+I95</f>
        <v>27600.400000000023</v>
      </c>
      <c r="S73" s="31">
        <f>J73+J95</f>
        <v>0</v>
      </c>
      <c r="T73" s="31">
        <f>K73+K95</f>
        <v>0</v>
      </c>
      <c r="U73" s="31">
        <f>L73+L95</f>
        <v>0</v>
      </c>
      <c r="V73" s="31"/>
      <c r="W73" s="31"/>
      <c r="X73" s="32">
        <f>O73+O95</f>
        <v>3557037.5</v>
      </c>
    </row>
    <row r="74" spans="1:24" ht="21" customHeight="1">
      <c r="A74" s="251"/>
      <c r="B74" s="169"/>
      <c r="C74" s="252"/>
      <c r="D74" s="127">
        <v>828</v>
      </c>
      <c r="E74" s="127" t="s">
        <v>111</v>
      </c>
      <c r="F74" s="127" t="s">
        <v>115</v>
      </c>
      <c r="G74" s="127">
        <v>200</v>
      </c>
      <c r="H74" s="11">
        <v>1419321.8</v>
      </c>
      <c r="I74" s="11"/>
      <c r="J74" s="11"/>
      <c r="K74" s="33"/>
      <c r="L74" s="21"/>
      <c r="M74" s="127"/>
      <c r="N74" s="127"/>
      <c r="O74" s="11">
        <f t="shared" si="14"/>
        <v>1419321.8</v>
      </c>
    </row>
    <row r="75" spans="1:24" ht="22.5" customHeight="1">
      <c r="A75" s="251"/>
      <c r="B75" s="169"/>
      <c r="C75" s="252"/>
      <c r="D75" s="127">
        <v>828</v>
      </c>
      <c r="E75" s="127" t="s">
        <v>111</v>
      </c>
      <c r="F75" s="127" t="s">
        <v>115</v>
      </c>
      <c r="G75" s="127">
        <v>500</v>
      </c>
      <c r="H75" s="11">
        <v>1449923</v>
      </c>
      <c r="I75" s="11"/>
      <c r="J75" s="11"/>
      <c r="K75" s="33"/>
      <c r="L75" s="21"/>
      <c r="M75" s="127"/>
      <c r="N75" s="127"/>
      <c r="O75" s="11">
        <f t="shared" si="14"/>
        <v>1449923</v>
      </c>
    </row>
    <row r="76" spans="1:24" ht="19.5" customHeight="1">
      <c r="A76" s="251"/>
      <c r="B76" s="169"/>
      <c r="C76" s="252"/>
      <c r="D76" s="127">
        <v>828</v>
      </c>
      <c r="E76" s="127" t="s">
        <v>111</v>
      </c>
      <c r="F76" s="127" t="s">
        <v>116</v>
      </c>
      <c r="G76" s="127">
        <v>200</v>
      </c>
      <c r="H76" s="11">
        <v>6878.7</v>
      </c>
      <c r="I76" s="11"/>
      <c r="J76" s="11"/>
      <c r="K76" s="33"/>
      <c r="L76" s="21"/>
      <c r="M76" s="127"/>
      <c r="N76" s="127"/>
      <c r="O76" s="11">
        <f t="shared" si="14"/>
        <v>6878.7</v>
      </c>
    </row>
    <row r="77" spans="1:24" ht="18.75" customHeight="1">
      <c r="A77" s="251"/>
      <c r="B77" s="169"/>
      <c r="C77" s="252"/>
      <c r="D77" s="127">
        <v>828</v>
      </c>
      <c r="E77" s="127" t="s">
        <v>111</v>
      </c>
      <c r="F77" s="127" t="s">
        <v>117</v>
      </c>
      <c r="G77" s="127">
        <v>200</v>
      </c>
      <c r="H77" s="11">
        <v>3.2</v>
      </c>
      <c r="I77" s="11"/>
      <c r="J77" s="11"/>
      <c r="K77" s="127"/>
      <c r="L77" s="127"/>
      <c r="M77" s="127"/>
      <c r="N77" s="127"/>
      <c r="O77" s="11">
        <f t="shared" si="14"/>
        <v>3.2</v>
      </c>
    </row>
    <row r="78" spans="1:24" ht="24.75" hidden="1" customHeight="1">
      <c r="A78" s="251"/>
      <c r="B78" s="169"/>
      <c r="C78" s="252"/>
      <c r="D78" s="127">
        <v>828</v>
      </c>
      <c r="E78" s="127" t="s">
        <v>111</v>
      </c>
      <c r="F78" s="127" t="s">
        <v>117</v>
      </c>
      <c r="G78" s="127">
        <v>500</v>
      </c>
      <c r="H78" s="11"/>
      <c r="I78" s="11"/>
      <c r="J78" s="11"/>
      <c r="K78" s="127"/>
      <c r="L78" s="127"/>
      <c r="M78" s="127"/>
      <c r="N78" s="127"/>
      <c r="O78" s="11">
        <f t="shared" si="14"/>
        <v>0</v>
      </c>
    </row>
    <row r="79" spans="1:24" ht="19.5" customHeight="1">
      <c r="A79" s="251"/>
      <c r="B79" s="169"/>
      <c r="C79" s="252"/>
      <c r="D79" s="127">
        <v>828</v>
      </c>
      <c r="E79" s="127" t="s">
        <v>111</v>
      </c>
      <c r="F79" s="127" t="s">
        <v>118</v>
      </c>
      <c r="G79" s="127">
        <v>200</v>
      </c>
      <c r="H79" s="34">
        <v>368536</v>
      </c>
      <c r="I79" s="34"/>
      <c r="J79" s="11"/>
      <c r="K79" s="127"/>
      <c r="L79" s="127"/>
      <c r="M79" s="127"/>
      <c r="N79" s="127"/>
      <c r="O79" s="11">
        <f t="shared" si="14"/>
        <v>368536</v>
      </c>
    </row>
    <row r="80" spans="1:24" ht="20.25" customHeight="1">
      <c r="A80" s="251"/>
      <c r="B80" s="169"/>
      <c r="C80" s="252"/>
      <c r="D80" s="132">
        <v>828</v>
      </c>
      <c r="E80" s="132" t="s">
        <v>111</v>
      </c>
      <c r="F80" s="132" t="s">
        <v>118</v>
      </c>
      <c r="G80" s="132">
        <v>500</v>
      </c>
      <c r="H80" s="35">
        <v>266178.3</v>
      </c>
      <c r="I80" s="35"/>
      <c r="J80" s="35"/>
      <c r="K80" s="132"/>
      <c r="L80" s="132"/>
      <c r="M80" s="132"/>
      <c r="N80" s="132"/>
      <c r="O80" s="35">
        <f t="shared" si="14"/>
        <v>266178.3</v>
      </c>
    </row>
    <row r="81" spans="1:17" ht="24.75" customHeight="1">
      <c r="A81" s="251"/>
      <c r="B81" s="169"/>
      <c r="C81" s="252"/>
      <c r="D81" s="36">
        <v>828</v>
      </c>
      <c r="E81" s="36" t="s">
        <v>111</v>
      </c>
      <c r="F81" s="36" t="s">
        <v>119</v>
      </c>
      <c r="G81" s="127"/>
      <c r="H81" s="11"/>
      <c r="I81" s="11">
        <f>SUM(I82:I89)</f>
        <v>4813255.3</v>
      </c>
      <c r="J81" s="11">
        <f>SUM(J82:J89)</f>
        <v>4770823.5</v>
      </c>
      <c r="K81" s="11">
        <f>SUM(K82:K89)</f>
        <v>6828014.7999999998</v>
      </c>
      <c r="L81" s="127"/>
      <c r="M81" s="127"/>
      <c r="N81" s="127"/>
      <c r="O81" s="11">
        <f t="shared" si="14"/>
        <v>16412093.600000001</v>
      </c>
      <c r="Q81" s="31">
        <f>O73+O81+O95</f>
        <v>19969131.100000001</v>
      </c>
    </row>
    <row r="82" spans="1:17" ht="21.75" customHeight="1">
      <c r="A82" s="251"/>
      <c r="B82" s="169"/>
      <c r="C82" s="252"/>
      <c r="D82" s="36">
        <v>828</v>
      </c>
      <c r="E82" s="36" t="s">
        <v>111</v>
      </c>
      <c r="F82" s="36" t="s">
        <v>120</v>
      </c>
      <c r="G82" s="37">
        <v>200</v>
      </c>
      <c r="H82" s="11"/>
      <c r="I82" s="11">
        <f>2858805.6+182477</f>
        <v>3041282.6</v>
      </c>
      <c r="J82" s="38">
        <f>3456345.6+471319.9</f>
        <v>3927665.5</v>
      </c>
      <c r="K82" s="39">
        <f>4486003.1+984732.4</f>
        <v>5470735.5</v>
      </c>
      <c r="L82" s="39"/>
      <c r="M82" s="127"/>
      <c r="N82" s="127"/>
      <c r="O82" s="11">
        <f t="shared" ref="O82:O90" si="15">SUM(I82:N82)</f>
        <v>12439683.6</v>
      </c>
    </row>
    <row r="83" spans="1:17" ht="21.75" customHeight="1">
      <c r="A83" s="251"/>
      <c r="B83" s="169"/>
      <c r="C83" s="252"/>
      <c r="D83" s="36">
        <v>828</v>
      </c>
      <c r="E83" s="36" t="s">
        <v>111</v>
      </c>
      <c r="F83" s="36" t="s">
        <v>120</v>
      </c>
      <c r="G83" s="37">
        <v>400</v>
      </c>
      <c r="H83" s="11"/>
      <c r="I83" s="21"/>
      <c r="J83" s="40">
        <f>741979+101179</f>
        <v>843158</v>
      </c>
      <c r="K83" s="39">
        <f>1112969+244310.3</f>
        <v>1357279.3</v>
      </c>
      <c r="L83" s="39"/>
      <c r="M83" s="127"/>
      <c r="N83" s="127"/>
      <c r="O83" s="11">
        <f t="shared" si="15"/>
        <v>2200437.2999999998</v>
      </c>
    </row>
    <row r="84" spans="1:17" ht="24.75" customHeight="1">
      <c r="A84" s="251"/>
      <c r="B84" s="169"/>
      <c r="C84" s="252"/>
      <c r="D84" s="41">
        <v>828</v>
      </c>
      <c r="E84" s="41" t="s">
        <v>111</v>
      </c>
      <c r="F84" s="41" t="s">
        <v>121</v>
      </c>
      <c r="G84" s="37">
        <v>200</v>
      </c>
      <c r="H84" s="11"/>
      <c r="I84" s="42">
        <f>196807.1+263548.4</f>
        <v>460355.5</v>
      </c>
      <c r="J84" s="43"/>
      <c r="K84" s="44"/>
      <c r="L84" s="37"/>
      <c r="M84" s="127"/>
      <c r="N84" s="127"/>
      <c r="O84" s="11">
        <f t="shared" si="15"/>
        <v>460355.5</v>
      </c>
    </row>
    <row r="85" spans="1:17" ht="24.75" customHeight="1">
      <c r="A85" s="251"/>
      <c r="B85" s="169"/>
      <c r="C85" s="252"/>
      <c r="D85" s="41">
        <v>828</v>
      </c>
      <c r="E85" s="41" t="s">
        <v>111</v>
      </c>
      <c r="F85" s="41" t="s">
        <v>121</v>
      </c>
      <c r="G85" s="37">
        <v>500</v>
      </c>
      <c r="H85" s="11"/>
      <c r="I85" s="42">
        <v>466307.8</v>
      </c>
      <c r="J85" s="37"/>
      <c r="K85" s="44"/>
      <c r="L85" s="37"/>
      <c r="M85" s="127"/>
      <c r="N85" s="127"/>
      <c r="O85" s="11">
        <f t="shared" si="15"/>
        <v>466307.8</v>
      </c>
    </row>
    <row r="86" spans="1:17" ht="22.5" customHeight="1">
      <c r="A86" s="251"/>
      <c r="B86" s="169"/>
      <c r="C86" s="252"/>
      <c r="D86" s="41">
        <v>828</v>
      </c>
      <c r="E86" s="41" t="s">
        <v>111</v>
      </c>
      <c r="F86" s="41" t="s">
        <v>122</v>
      </c>
      <c r="G86" s="37">
        <v>200</v>
      </c>
      <c r="H86" s="11"/>
      <c r="I86" s="11"/>
      <c r="J86" s="43"/>
      <c r="K86" s="44"/>
      <c r="L86" s="43"/>
      <c r="M86" s="127"/>
      <c r="N86" s="127"/>
      <c r="O86" s="11">
        <f t="shared" si="15"/>
        <v>0</v>
      </c>
    </row>
    <row r="87" spans="1:17" ht="24.75" customHeight="1">
      <c r="A87" s="251"/>
      <c r="B87" s="169"/>
      <c r="C87" s="252"/>
      <c r="D87" s="41">
        <v>828</v>
      </c>
      <c r="E87" s="41" t="s">
        <v>111</v>
      </c>
      <c r="F87" s="41" t="s">
        <v>123</v>
      </c>
      <c r="G87" s="41">
        <v>200</v>
      </c>
      <c r="H87" s="45"/>
      <c r="I87" s="46">
        <v>412903.2</v>
      </c>
      <c r="J87" s="39"/>
      <c r="K87" s="39"/>
      <c r="L87" s="39"/>
      <c r="M87" s="127"/>
      <c r="N87" s="127"/>
      <c r="O87" s="11">
        <f t="shared" si="15"/>
        <v>412903.2</v>
      </c>
    </row>
    <row r="88" spans="1:17" ht="24.75" customHeight="1">
      <c r="A88" s="251"/>
      <c r="B88" s="169"/>
      <c r="C88" s="252"/>
      <c r="D88" s="41">
        <v>828</v>
      </c>
      <c r="E88" s="41" t="s">
        <v>111</v>
      </c>
      <c r="F88" s="41" t="s">
        <v>124</v>
      </c>
      <c r="G88" s="41">
        <v>400</v>
      </c>
      <c r="H88" s="45"/>
      <c r="I88" s="46"/>
      <c r="J88" s="39"/>
      <c r="K88" s="39"/>
      <c r="L88" s="39"/>
      <c r="M88" s="127"/>
      <c r="N88" s="127"/>
      <c r="O88" s="11">
        <f t="shared" si="15"/>
        <v>0</v>
      </c>
    </row>
    <row r="89" spans="1:17" ht="22.5" customHeight="1">
      <c r="A89" s="251"/>
      <c r="B89" s="169"/>
      <c r="C89" s="252"/>
      <c r="D89" s="41">
        <v>828</v>
      </c>
      <c r="E89" s="41" t="s">
        <v>111</v>
      </c>
      <c r="F89" s="41" t="s">
        <v>123</v>
      </c>
      <c r="G89" s="41">
        <v>500</v>
      </c>
      <c r="H89" s="11"/>
      <c r="I89" s="47">
        <v>432406.2</v>
      </c>
      <c r="J89" s="39"/>
      <c r="K89" s="39"/>
      <c r="L89" s="39"/>
      <c r="M89" s="127"/>
      <c r="N89" s="127"/>
      <c r="O89" s="11">
        <f t="shared" si="15"/>
        <v>432406.2</v>
      </c>
    </row>
    <row r="90" spans="1:17" ht="23.25" customHeight="1">
      <c r="A90" s="127"/>
      <c r="B90" s="169"/>
      <c r="C90" s="124" t="s">
        <v>125</v>
      </c>
      <c r="D90" s="48"/>
      <c r="E90" s="48"/>
      <c r="F90" s="48"/>
      <c r="G90" s="48"/>
      <c r="H90" s="11">
        <v>3.2</v>
      </c>
      <c r="I90" s="11">
        <f>2858805.6</f>
        <v>2858805.6</v>
      </c>
      <c r="J90" s="11">
        <f>3456345.6+741979</f>
        <v>4198324.5999999996</v>
      </c>
      <c r="K90" s="11">
        <f>4486003.1+1112969</f>
        <v>5598972.0999999996</v>
      </c>
      <c r="L90" s="11"/>
      <c r="M90" s="11"/>
      <c r="N90" s="11"/>
      <c r="O90" s="11">
        <f t="shared" si="15"/>
        <v>12656102.299999999</v>
      </c>
    </row>
    <row r="91" spans="1:17" ht="34.5" customHeight="1">
      <c r="A91" s="127"/>
      <c r="B91" s="169"/>
      <c r="C91" s="124" t="s">
        <v>21</v>
      </c>
      <c r="D91" s="49"/>
      <c r="E91" s="49"/>
      <c r="F91" s="49"/>
      <c r="G91" s="49"/>
      <c r="H91" s="11"/>
      <c r="I91" s="11"/>
      <c r="J91" s="11"/>
      <c r="K91" s="11"/>
      <c r="L91" s="11"/>
      <c r="M91" s="11"/>
      <c r="N91" s="11"/>
      <c r="O91" s="11"/>
    </row>
    <row r="92" spans="1:17" ht="25.5" customHeight="1">
      <c r="A92" s="127"/>
      <c r="B92" s="169"/>
      <c r="C92" s="124" t="s">
        <v>112</v>
      </c>
      <c r="D92" s="49"/>
      <c r="E92" s="49"/>
      <c r="F92" s="49"/>
      <c r="G92" s="49"/>
      <c r="H92" s="11">
        <f>H75+H80</f>
        <v>1716101.3</v>
      </c>
      <c r="I92" s="11">
        <f>I85+I89</f>
        <v>898714</v>
      </c>
      <c r="J92" s="11"/>
      <c r="K92" s="11"/>
      <c r="L92" s="11"/>
      <c r="M92" s="11"/>
      <c r="N92" s="11"/>
      <c r="O92" s="11">
        <f>SUM(H92:N92)</f>
        <v>2614815.2999999998</v>
      </c>
    </row>
    <row r="93" spans="1:17" ht="65.25" customHeight="1">
      <c r="A93" s="127"/>
      <c r="B93" s="169"/>
      <c r="C93" s="124" t="s">
        <v>23</v>
      </c>
      <c r="D93" s="48"/>
      <c r="E93" s="48"/>
      <c r="F93" s="48"/>
      <c r="G93" s="48"/>
      <c r="H93" s="11"/>
      <c r="I93" s="11"/>
      <c r="J93" s="11"/>
      <c r="K93" s="11"/>
      <c r="L93" s="11"/>
      <c r="M93" s="11"/>
      <c r="N93" s="11"/>
      <c r="O93" s="11"/>
    </row>
    <row r="94" spans="1:17" ht="51" customHeight="1">
      <c r="A94" s="127"/>
      <c r="B94" s="169"/>
      <c r="C94" s="124" t="s">
        <v>24</v>
      </c>
      <c r="D94" s="48"/>
      <c r="E94" s="48"/>
      <c r="F94" s="48"/>
      <c r="G94" s="48"/>
      <c r="H94" s="11"/>
      <c r="I94" s="11"/>
      <c r="J94" s="11"/>
      <c r="K94" s="11"/>
      <c r="L94" s="11"/>
      <c r="M94" s="11"/>
      <c r="N94" s="11"/>
      <c r="O94" s="11"/>
    </row>
    <row r="95" spans="1:17" ht="22.5" hidden="1" customHeight="1">
      <c r="A95" s="127"/>
      <c r="B95" s="169"/>
      <c r="C95" s="158" t="s">
        <v>344</v>
      </c>
      <c r="D95" s="161"/>
      <c r="E95" s="161"/>
      <c r="F95" s="161"/>
      <c r="G95" s="161"/>
      <c r="H95" s="160">
        <v>18596.099999999999</v>
      </c>
      <c r="I95" s="162">
        <f>27600.4+249500-249500</f>
        <v>27600.400000000023</v>
      </c>
      <c r="J95" s="160"/>
      <c r="K95" s="160"/>
      <c r="L95" s="160"/>
      <c r="M95" s="160"/>
      <c r="N95" s="160"/>
      <c r="O95" s="160">
        <f>SUM(H95:N95)</f>
        <v>46196.500000000022</v>
      </c>
    </row>
    <row r="96" spans="1:17" ht="22.5" customHeight="1">
      <c r="A96" s="157"/>
      <c r="B96" s="169"/>
      <c r="C96" s="155" t="s">
        <v>25</v>
      </c>
      <c r="D96" s="49"/>
      <c r="E96" s="49"/>
      <c r="F96" s="49"/>
      <c r="G96" s="49"/>
      <c r="H96" s="11">
        <f>H92+H95</f>
        <v>1734697.4000000001</v>
      </c>
      <c r="I96" s="11">
        <f t="shared" ref="I96:O96" si="16">I92+I95</f>
        <v>926314.4</v>
      </c>
      <c r="J96" s="11"/>
      <c r="K96" s="11"/>
      <c r="L96" s="11"/>
      <c r="M96" s="11"/>
      <c r="N96" s="11"/>
      <c r="O96" s="11">
        <f t="shared" si="16"/>
        <v>2661011.7999999998</v>
      </c>
    </row>
    <row r="97" spans="1:24" ht="24.75" customHeight="1">
      <c r="A97" s="127"/>
      <c r="B97" s="169"/>
      <c r="C97" s="124" t="s">
        <v>26</v>
      </c>
      <c r="D97" s="48"/>
      <c r="E97" s="48"/>
      <c r="F97" s="48"/>
      <c r="G97" s="48"/>
      <c r="H97" s="11"/>
      <c r="I97" s="11"/>
      <c r="J97" s="11"/>
      <c r="K97" s="11"/>
      <c r="L97" s="11"/>
      <c r="M97" s="11"/>
      <c r="N97" s="11"/>
      <c r="O97" s="11"/>
    </row>
    <row r="98" spans="1:24" ht="23.25" customHeight="1">
      <c r="A98" s="133" t="s">
        <v>126</v>
      </c>
      <c r="B98" s="124"/>
      <c r="C98" s="244" t="s">
        <v>127</v>
      </c>
      <c r="D98" s="244"/>
      <c r="E98" s="244"/>
      <c r="F98" s="244"/>
      <c r="G98" s="244"/>
      <c r="H98" s="244"/>
      <c r="I98" s="244"/>
      <c r="J98" s="244"/>
      <c r="K98" s="244"/>
      <c r="L98" s="244"/>
      <c r="M98" s="244"/>
      <c r="N98" s="244"/>
      <c r="O98" s="244"/>
    </row>
    <row r="99" spans="1:24" ht="23.25" customHeight="1">
      <c r="A99" s="245"/>
      <c r="B99" s="124" t="s">
        <v>69</v>
      </c>
      <c r="C99" s="166" t="s">
        <v>18</v>
      </c>
      <c r="D99" s="127">
        <v>828</v>
      </c>
      <c r="E99" s="127" t="s">
        <v>111</v>
      </c>
      <c r="F99" s="127" t="s">
        <v>128</v>
      </c>
      <c r="G99" s="127">
        <v>500</v>
      </c>
      <c r="H99" s="11">
        <f>32767.8+1365.4</f>
        <v>34133.199999999997</v>
      </c>
      <c r="I99" s="11"/>
      <c r="J99" s="11"/>
      <c r="K99" s="127"/>
      <c r="L99" s="50"/>
      <c r="M99" s="127"/>
      <c r="N99" s="127"/>
      <c r="O99" s="11">
        <f>SUM(H99:N99)</f>
        <v>34133.199999999997</v>
      </c>
      <c r="Q99" s="31">
        <f>H99+H106</f>
        <v>36702.399999999994</v>
      </c>
      <c r="R99" s="31">
        <f>I100+I106</f>
        <v>31868.199999999997</v>
      </c>
      <c r="S99" s="31">
        <f>J100+J106</f>
        <v>102447.6</v>
      </c>
      <c r="T99" s="31">
        <f>K100+K106</f>
        <v>102913.60000000001</v>
      </c>
      <c r="U99" s="31">
        <f>L99+L106</f>
        <v>0</v>
      </c>
      <c r="V99" s="31">
        <f>M99+M106</f>
        <v>0</v>
      </c>
      <c r="W99" s="31">
        <f>N99+N106</f>
        <v>0</v>
      </c>
      <c r="X99" s="32">
        <f>SUM(Q99:U99)</f>
        <v>273931.80000000005</v>
      </c>
    </row>
    <row r="100" spans="1:24" ht="20.25" customHeight="1">
      <c r="A100" s="245"/>
      <c r="B100" s="124"/>
      <c r="C100" s="166"/>
      <c r="D100" s="127">
        <v>828</v>
      </c>
      <c r="E100" s="127" t="s">
        <v>111</v>
      </c>
      <c r="F100" s="127" t="s">
        <v>129</v>
      </c>
      <c r="G100" s="127">
        <v>500</v>
      </c>
      <c r="H100" s="11"/>
      <c r="I100" s="11">
        <f>27859.1+1778.3</f>
        <v>29637.399999999998</v>
      </c>
      <c r="J100" s="11">
        <f>83843.1+11433.2</f>
        <v>95276.3</v>
      </c>
      <c r="K100" s="11">
        <f>79325.8+17413</f>
        <v>96738.8</v>
      </c>
      <c r="L100" s="51"/>
      <c r="M100" s="132"/>
      <c r="N100" s="132"/>
      <c r="O100" s="11">
        <f>SUM(I100:N100)</f>
        <v>221652.5</v>
      </c>
      <c r="Q100" s="31"/>
      <c r="R100" s="31"/>
      <c r="S100" s="31"/>
      <c r="T100" s="31"/>
      <c r="U100" s="31"/>
      <c r="V100" s="31"/>
      <c r="W100" s="31"/>
      <c r="X100" s="32"/>
    </row>
    <row r="101" spans="1:24" ht="36.75" customHeight="1">
      <c r="A101" s="127"/>
      <c r="B101" s="124"/>
      <c r="C101" s="124" t="s">
        <v>20</v>
      </c>
      <c r="D101" s="52"/>
      <c r="E101" s="52"/>
      <c r="F101" s="52"/>
      <c r="G101" s="52"/>
      <c r="H101" s="53">
        <v>32767.8</v>
      </c>
      <c r="I101" s="53">
        <v>27859.1</v>
      </c>
      <c r="J101" s="53">
        <v>83843.100000000006</v>
      </c>
      <c r="K101" s="53">
        <v>79325.8</v>
      </c>
      <c r="L101" s="127"/>
      <c r="M101" s="127"/>
      <c r="N101" s="127"/>
      <c r="O101" s="11">
        <f>SUM(H101:N101)</f>
        <v>223795.8</v>
      </c>
    </row>
    <row r="102" spans="1:24" ht="36.75" customHeight="1">
      <c r="A102" s="127"/>
      <c r="B102" s="124"/>
      <c r="C102" s="124" t="s">
        <v>21</v>
      </c>
      <c r="D102" s="49"/>
      <c r="E102" s="49"/>
      <c r="F102" s="49"/>
      <c r="G102" s="49"/>
      <c r="H102" s="11"/>
      <c r="I102" s="11"/>
      <c r="J102" s="11"/>
      <c r="K102" s="11"/>
      <c r="L102" s="11"/>
      <c r="M102" s="11"/>
      <c r="N102" s="11"/>
      <c r="O102" s="11"/>
    </row>
    <row r="103" spans="1:24" ht="26.25" customHeight="1">
      <c r="A103" s="127"/>
      <c r="B103" s="10"/>
      <c r="C103" s="10" t="s">
        <v>112</v>
      </c>
      <c r="D103" s="49"/>
      <c r="E103" s="49"/>
      <c r="F103" s="49"/>
      <c r="G103" s="49"/>
      <c r="H103" s="11">
        <f>H99</f>
        <v>34133.199999999997</v>
      </c>
      <c r="I103" s="11">
        <f>I100</f>
        <v>29637.399999999998</v>
      </c>
      <c r="J103" s="11">
        <f>J100</f>
        <v>95276.3</v>
      </c>
      <c r="K103" s="11">
        <f>K100</f>
        <v>96738.8</v>
      </c>
      <c r="L103" s="11"/>
      <c r="M103" s="11"/>
      <c r="N103" s="11"/>
      <c r="O103" s="11">
        <f>SUM(H103:N103)</f>
        <v>255785.7</v>
      </c>
    </row>
    <row r="104" spans="1:24" ht="71.25" customHeight="1">
      <c r="A104" s="127"/>
      <c r="B104" s="124"/>
      <c r="C104" s="124" t="s">
        <v>23</v>
      </c>
      <c r="D104" s="48"/>
      <c r="E104" s="48"/>
      <c r="F104" s="48"/>
      <c r="G104" s="48"/>
      <c r="H104" s="11"/>
      <c r="I104" s="11"/>
      <c r="J104" s="11"/>
      <c r="K104" s="11"/>
      <c r="L104" s="11"/>
      <c r="M104" s="11"/>
      <c r="N104" s="11"/>
      <c r="O104" s="11"/>
    </row>
    <row r="105" spans="1:24" ht="51.75" customHeight="1">
      <c r="A105" s="127"/>
      <c r="B105" s="124"/>
      <c r="C105" s="124" t="s">
        <v>24</v>
      </c>
      <c r="D105" s="48"/>
      <c r="E105" s="48"/>
      <c r="F105" s="48"/>
      <c r="G105" s="48"/>
      <c r="H105" s="11"/>
      <c r="I105" s="11"/>
      <c r="J105" s="11"/>
      <c r="K105" s="11"/>
      <c r="L105" s="11"/>
      <c r="M105" s="11"/>
      <c r="N105" s="11"/>
      <c r="O105" s="11"/>
    </row>
    <row r="106" spans="1:24" ht="33" hidden="1" customHeight="1">
      <c r="A106" s="127"/>
      <c r="B106" s="124"/>
      <c r="C106" s="158" t="s">
        <v>344</v>
      </c>
      <c r="D106" s="161"/>
      <c r="E106" s="161"/>
      <c r="F106" s="161"/>
      <c r="G106" s="161"/>
      <c r="H106" s="160">
        <v>2569.1999999999998</v>
      </c>
      <c r="I106" s="160">
        <v>2230.8000000000002</v>
      </c>
      <c r="J106" s="160">
        <v>7171.3</v>
      </c>
      <c r="K106" s="160">
        <v>6174.8</v>
      </c>
      <c r="L106" s="160"/>
      <c r="M106" s="160"/>
      <c r="N106" s="160"/>
      <c r="O106" s="160">
        <f>SUM(H106:N106)</f>
        <v>18146.099999999999</v>
      </c>
    </row>
    <row r="107" spans="1:24" ht="33" customHeight="1">
      <c r="A107" s="157"/>
      <c r="B107" s="155"/>
      <c r="C107" s="155" t="s">
        <v>25</v>
      </c>
      <c r="D107" s="49"/>
      <c r="E107" s="49"/>
      <c r="F107" s="49"/>
      <c r="G107" s="49"/>
      <c r="H107" s="11">
        <f>H103+H106</f>
        <v>36702.399999999994</v>
      </c>
      <c r="I107" s="11">
        <f t="shared" ref="I107:K107" si="17">I103+I106</f>
        <v>31868.199999999997</v>
      </c>
      <c r="J107" s="11">
        <f t="shared" si="17"/>
        <v>102447.6</v>
      </c>
      <c r="K107" s="11">
        <f t="shared" si="17"/>
        <v>102913.60000000001</v>
      </c>
      <c r="L107" s="11"/>
      <c r="M107" s="11"/>
      <c r="N107" s="11"/>
      <c r="O107" s="11">
        <f>O103+O106</f>
        <v>273931.8</v>
      </c>
    </row>
    <row r="108" spans="1:24" ht="27" customHeight="1">
      <c r="A108" s="127"/>
      <c r="B108" s="124"/>
      <c r="C108" s="124" t="s">
        <v>26</v>
      </c>
      <c r="D108" s="48"/>
      <c r="E108" s="48"/>
      <c r="F108" s="48"/>
      <c r="G108" s="48"/>
      <c r="H108" s="11"/>
      <c r="I108" s="11"/>
      <c r="J108" s="11"/>
      <c r="K108" s="11"/>
      <c r="L108" s="11"/>
      <c r="M108" s="11"/>
      <c r="N108" s="11"/>
      <c r="O108" s="11"/>
    </row>
    <row r="109" spans="1:24" ht="21" customHeight="1">
      <c r="A109" s="133" t="s">
        <v>130</v>
      </c>
      <c r="B109" s="124"/>
      <c r="C109" s="244" t="s">
        <v>131</v>
      </c>
      <c r="D109" s="244"/>
      <c r="E109" s="244"/>
      <c r="F109" s="244"/>
      <c r="G109" s="244"/>
      <c r="H109" s="244"/>
      <c r="I109" s="244"/>
      <c r="J109" s="244"/>
      <c r="K109" s="244"/>
      <c r="L109" s="244"/>
      <c r="M109" s="244"/>
      <c r="N109" s="244"/>
      <c r="O109" s="244"/>
    </row>
    <row r="110" spans="1:24" ht="25.5" customHeight="1">
      <c r="A110" s="127"/>
      <c r="B110" s="169" t="s">
        <v>74</v>
      </c>
      <c r="C110" s="124" t="s">
        <v>18</v>
      </c>
      <c r="D110" s="128">
        <v>810</v>
      </c>
      <c r="E110" s="128" t="s">
        <v>132</v>
      </c>
      <c r="F110" s="128" t="s">
        <v>133</v>
      </c>
      <c r="G110" s="127">
        <v>600</v>
      </c>
      <c r="H110" s="11">
        <v>104</v>
      </c>
      <c r="I110" s="11"/>
      <c r="J110" s="11"/>
      <c r="K110" s="11"/>
      <c r="L110" s="11"/>
      <c r="M110" s="11"/>
      <c r="N110" s="11"/>
      <c r="O110" s="11">
        <f>SUM(H110:N110)</f>
        <v>104</v>
      </c>
    </row>
    <row r="111" spans="1:24" ht="38.25" customHeight="1">
      <c r="A111" s="127"/>
      <c r="B111" s="169"/>
      <c r="C111" s="124" t="s">
        <v>20</v>
      </c>
      <c r="D111" s="48"/>
      <c r="E111" s="48"/>
      <c r="F111" s="48"/>
      <c r="G111" s="48"/>
      <c r="H111" s="11"/>
      <c r="I111" s="11"/>
      <c r="J111" s="11"/>
      <c r="K111" s="11"/>
      <c r="L111" s="11"/>
      <c r="M111" s="11"/>
      <c r="N111" s="11"/>
      <c r="O111" s="11"/>
    </row>
    <row r="112" spans="1:24" ht="35.1" customHeight="1">
      <c r="A112" s="127"/>
      <c r="B112" s="169"/>
      <c r="C112" s="124" t="s">
        <v>21</v>
      </c>
      <c r="D112" s="49"/>
      <c r="E112" s="49"/>
      <c r="F112" s="49"/>
      <c r="G112" s="49"/>
      <c r="H112" s="11"/>
      <c r="I112" s="11"/>
      <c r="J112" s="11"/>
      <c r="K112" s="11"/>
      <c r="L112" s="11"/>
      <c r="M112" s="11"/>
      <c r="N112" s="11"/>
      <c r="O112" s="11"/>
    </row>
    <row r="113" spans="1:17" ht="22.35" customHeight="1">
      <c r="A113" s="127"/>
      <c r="B113" s="169"/>
      <c r="C113" s="10" t="s">
        <v>112</v>
      </c>
      <c r="D113" s="49"/>
      <c r="E113" s="49"/>
      <c r="F113" s="49"/>
      <c r="G113" s="49"/>
      <c r="H113" s="11"/>
      <c r="I113" s="11"/>
      <c r="J113" s="11"/>
      <c r="K113" s="11"/>
      <c r="L113" s="11"/>
      <c r="M113" s="11"/>
      <c r="N113" s="11"/>
      <c r="O113" s="11"/>
    </row>
    <row r="114" spans="1:17" ht="64.5" customHeight="1">
      <c r="A114" s="127"/>
      <c r="B114" s="169"/>
      <c r="C114" s="124" t="s">
        <v>23</v>
      </c>
      <c r="D114" s="48"/>
      <c r="E114" s="48"/>
      <c r="F114" s="48"/>
      <c r="G114" s="48"/>
      <c r="H114" s="11"/>
      <c r="I114" s="11"/>
      <c r="J114" s="11"/>
      <c r="K114" s="11"/>
      <c r="L114" s="11"/>
      <c r="M114" s="11"/>
      <c r="N114" s="11"/>
      <c r="O114" s="11"/>
    </row>
    <row r="115" spans="1:17" ht="52.15" customHeight="1">
      <c r="A115" s="127"/>
      <c r="B115" s="169"/>
      <c r="C115" s="124" t="s">
        <v>24</v>
      </c>
      <c r="D115" s="48"/>
      <c r="E115" s="48"/>
      <c r="F115" s="48"/>
      <c r="G115" s="48"/>
      <c r="H115" s="11"/>
      <c r="I115" s="11"/>
      <c r="J115" s="11"/>
      <c r="K115" s="11"/>
      <c r="L115" s="11"/>
      <c r="M115" s="11"/>
      <c r="N115" s="11"/>
      <c r="O115" s="11"/>
    </row>
    <row r="116" spans="1:17" ht="29.85" customHeight="1">
      <c r="A116" s="127"/>
      <c r="B116" s="169"/>
      <c r="C116" s="124" t="s">
        <v>25</v>
      </c>
      <c r="D116" s="49"/>
      <c r="E116" s="49"/>
      <c r="F116" s="49"/>
      <c r="G116" s="49"/>
      <c r="H116" s="11"/>
      <c r="I116" s="11"/>
      <c r="J116" s="11"/>
      <c r="K116" s="11"/>
      <c r="L116" s="11"/>
      <c r="M116" s="11"/>
      <c r="N116" s="11"/>
      <c r="O116" s="11"/>
    </row>
    <row r="117" spans="1:17" ht="28.7" customHeight="1">
      <c r="A117" s="127"/>
      <c r="B117" s="169"/>
      <c r="C117" s="124" t="s">
        <v>26</v>
      </c>
      <c r="D117" s="48"/>
      <c r="E117" s="48"/>
      <c r="F117" s="48"/>
      <c r="G117" s="48"/>
      <c r="H117" s="11"/>
      <c r="I117" s="11"/>
      <c r="J117" s="11"/>
      <c r="K117" s="11"/>
      <c r="L117" s="11"/>
      <c r="M117" s="11"/>
      <c r="N117" s="11"/>
      <c r="O117" s="11"/>
    </row>
    <row r="118" spans="1:17" ht="29.85" customHeight="1">
      <c r="A118" s="133" t="s">
        <v>134</v>
      </c>
      <c r="B118" s="124"/>
      <c r="C118" s="244" t="s">
        <v>135</v>
      </c>
      <c r="D118" s="244"/>
      <c r="E118" s="244"/>
      <c r="F118" s="244"/>
      <c r="G118" s="244"/>
      <c r="H118" s="244"/>
      <c r="I118" s="244"/>
      <c r="J118" s="244"/>
      <c r="K118" s="244"/>
      <c r="L118" s="244"/>
      <c r="M118" s="244"/>
      <c r="N118" s="244"/>
      <c r="O118" s="244"/>
    </row>
    <row r="119" spans="1:17" ht="22.5" customHeight="1">
      <c r="A119" s="127"/>
      <c r="B119" s="169" t="s">
        <v>79</v>
      </c>
      <c r="C119" s="124" t="s">
        <v>18</v>
      </c>
      <c r="D119" s="41">
        <v>828</v>
      </c>
      <c r="E119" s="41" t="s">
        <v>111</v>
      </c>
      <c r="F119" s="41" t="s">
        <v>136</v>
      </c>
      <c r="G119" s="41">
        <v>500</v>
      </c>
      <c r="H119" s="11">
        <f>36275+1512.4</f>
        <v>37787.4</v>
      </c>
      <c r="I119" s="11">
        <v>0</v>
      </c>
      <c r="J119" s="11">
        <f>79969.8+10905.2</f>
        <v>90875</v>
      </c>
      <c r="K119" s="11">
        <v>0</v>
      </c>
      <c r="L119" s="11">
        <v>0</v>
      </c>
      <c r="M119" s="11">
        <v>0</v>
      </c>
      <c r="N119" s="11">
        <v>0</v>
      </c>
      <c r="O119" s="11">
        <f>SUM(H119:N119)</f>
        <v>128662.39999999999</v>
      </c>
      <c r="Q119" s="31">
        <f>O119-O120</f>
        <v>12417.599999999991</v>
      </c>
    </row>
    <row r="120" spans="1:17" ht="31.5">
      <c r="A120" s="127"/>
      <c r="B120" s="169"/>
      <c r="C120" s="124" t="s">
        <v>20</v>
      </c>
      <c r="D120" s="48"/>
      <c r="E120" s="48"/>
      <c r="F120" s="48"/>
      <c r="G120" s="48"/>
      <c r="H120" s="11">
        <v>36275</v>
      </c>
      <c r="I120" s="11">
        <v>0</v>
      </c>
      <c r="J120" s="11">
        <v>79969.8</v>
      </c>
      <c r="K120" s="11">
        <v>0</v>
      </c>
      <c r="L120" s="11">
        <v>0</v>
      </c>
      <c r="M120" s="11">
        <v>0</v>
      </c>
      <c r="N120" s="11">
        <v>0</v>
      </c>
      <c r="O120" s="11">
        <f>SUM(H120:N120)</f>
        <v>116244.8</v>
      </c>
    </row>
    <row r="121" spans="1:17" ht="31.5" customHeight="1">
      <c r="A121" s="127"/>
      <c r="B121" s="169"/>
      <c r="C121" s="124" t="s">
        <v>21</v>
      </c>
      <c r="D121" s="49"/>
      <c r="E121" s="49"/>
      <c r="F121" s="49"/>
      <c r="G121" s="49"/>
      <c r="H121" s="127"/>
      <c r="I121" s="127"/>
      <c r="J121" s="127"/>
      <c r="K121" s="127"/>
      <c r="L121" s="127"/>
      <c r="M121" s="127"/>
      <c r="N121" s="127"/>
      <c r="O121" s="11">
        <v>0</v>
      </c>
    </row>
    <row r="122" spans="1:17" ht="19.5" customHeight="1">
      <c r="A122" s="127"/>
      <c r="B122" s="169"/>
      <c r="C122" s="10" t="s">
        <v>112</v>
      </c>
      <c r="D122" s="49"/>
      <c r="E122" s="49"/>
      <c r="F122" s="49"/>
      <c r="G122" s="49"/>
      <c r="H122" s="11">
        <f>H119</f>
        <v>37787.4</v>
      </c>
      <c r="I122" s="127"/>
      <c r="J122" s="11">
        <f>J119</f>
        <v>90875</v>
      </c>
      <c r="K122" s="127"/>
      <c r="L122" s="127"/>
      <c r="M122" s="127"/>
      <c r="N122" s="127"/>
      <c r="O122" s="11">
        <f>SUM(H122:N122)</f>
        <v>128662.39999999999</v>
      </c>
    </row>
    <row r="123" spans="1:17" ht="63">
      <c r="A123" s="127"/>
      <c r="B123" s="169"/>
      <c r="C123" s="124" t="s">
        <v>23</v>
      </c>
      <c r="D123" s="48"/>
      <c r="E123" s="48"/>
      <c r="F123" s="48"/>
      <c r="G123" s="48"/>
      <c r="H123" s="127"/>
      <c r="I123" s="127"/>
      <c r="J123" s="127"/>
      <c r="K123" s="127"/>
      <c r="L123" s="127"/>
      <c r="M123" s="127"/>
      <c r="N123" s="127"/>
      <c r="O123" s="11"/>
    </row>
    <row r="124" spans="1:17" ht="50.25" customHeight="1">
      <c r="A124" s="127"/>
      <c r="B124" s="169"/>
      <c r="C124" s="124" t="s">
        <v>24</v>
      </c>
      <c r="D124" s="48"/>
      <c r="E124" s="48"/>
      <c r="F124" s="48"/>
      <c r="G124" s="48"/>
      <c r="H124" s="127"/>
      <c r="I124" s="127"/>
      <c r="J124" s="127"/>
      <c r="K124" s="127"/>
      <c r="L124" s="127"/>
      <c r="M124" s="127"/>
      <c r="N124" s="127"/>
      <c r="O124" s="11"/>
    </row>
    <row r="125" spans="1:17" ht="21" hidden="1" customHeight="1">
      <c r="A125" s="127"/>
      <c r="B125" s="169"/>
      <c r="C125" s="158" t="s">
        <v>344</v>
      </c>
      <c r="D125" s="161"/>
      <c r="E125" s="161"/>
      <c r="F125" s="161"/>
      <c r="G125" s="161"/>
      <c r="H125" s="160">
        <v>2411.9639999999999</v>
      </c>
      <c r="I125" s="163"/>
      <c r="J125" s="160">
        <v>5653.8</v>
      </c>
      <c r="K125" s="163"/>
      <c r="L125" s="163"/>
      <c r="M125" s="163"/>
      <c r="N125" s="163"/>
      <c r="O125" s="160">
        <f>SUM(H125:N125)</f>
        <v>8065.7640000000001</v>
      </c>
    </row>
    <row r="126" spans="1:17" ht="21" customHeight="1">
      <c r="A126" s="157"/>
      <c r="B126" s="169"/>
      <c r="C126" s="155" t="s">
        <v>25</v>
      </c>
      <c r="D126" s="49"/>
      <c r="E126" s="49"/>
      <c r="F126" s="49"/>
      <c r="G126" s="49"/>
      <c r="H126" s="11">
        <f>H122+H125</f>
        <v>40199.364000000001</v>
      </c>
      <c r="I126" s="157"/>
      <c r="J126" s="11">
        <f>J122+J125</f>
        <v>96528.8</v>
      </c>
      <c r="K126" s="157"/>
      <c r="L126" s="157"/>
      <c r="M126" s="157"/>
      <c r="N126" s="157"/>
      <c r="O126" s="11">
        <f>O122+O125</f>
        <v>136728.16399999999</v>
      </c>
    </row>
    <row r="127" spans="1:17" ht="22.5" customHeight="1">
      <c r="A127" s="127"/>
      <c r="B127" s="169"/>
      <c r="C127" s="124" t="s">
        <v>26</v>
      </c>
      <c r="D127" s="48"/>
      <c r="E127" s="48"/>
      <c r="F127" s="48"/>
      <c r="G127" s="48"/>
      <c r="H127" s="11">
        <v>4466.6000000000004</v>
      </c>
      <c r="I127" s="127"/>
      <c r="J127" s="11">
        <v>10725.5</v>
      </c>
      <c r="K127" s="127"/>
      <c r="L127" s="127"/>
      <c r="M127" s="127"/>
      <c r="N127" s="127"/>
      <c r="O127" s="11">
        <f>SUM(H127:N127)</f>
        <v>15192.1</v>
      </c>
    </row>
    <row r="128" spans="1:17" ht="32.25" hidden="1" customHeight="1">
      <c r="A128" s="127" t="s">
        <v>137</v>
      </c>
      <c r="B128" s="124"/>
      <c r="C128" s="244" t="s">
        <v>83</v>
      </c>
      <c r="D128" s="244"/>
      <c r="E128" s="244"/>
      <c r="F128" s="244"/>
      <c r="G128" s="244"/>
      <c r="H128" s="244"/>
      <c r="I128" s="244"/>
      <c r="J128" s="244"/>
      <c r="K128" s="244"/>
      <c r="L128" s="244"/>
      <c r="M128" s="244"/>
      <c r="N128" s="244"/>
      <c r="O128" s="244"/>
    </row>
    <row r="129" spans="1:24" ht="15.75" hidden="1" customHeight="1">
      <c r="A129" s="134"/>
      <c r="B129" s="169" t="s">
        <v>83</v>
      </c>
      <c r="C129" s="124" t="s">
        <v>57</v>
      </c>
      <c r="D129" s="124"/>
      <c r="E129" s="124"/>
      <c r="F129" s="124"/>
      <c r="G129" s="124"/>
      <c r="H129" s="11"/>
      <c r="I129" s="11"/>
      <c r="J129" s="11"/>
      <c r="K129" s="11"/>
      <c r="L129" s="11"/>
      <c r="M129" s="11"/>
      <c r="N129" s="11"/>
      <c r="O129" s="11"/>
    </row>
    <row r="130" spans="1:24" hidden="1">
      <c r="A130" s="134"/>
      <c r="B130" s="169"/>
      <c r="C130" s="124" t="s">
        <v>18</v>
      </c>
      <c r="D130" s="48"/>
      <c r="E130" s="48"/>
      <c r="F130" s="48"/>
      <c r="G130" s="48"/>
      <c r="H130" s="11"/>
      <c r="I130" s="11"/>
      <c r="J130" s="11"/>
      <c r="K130" s="11"/>
      <c r="L130" s="11"/>
      <c r="M130" s="11"/>
      <c r="N130" s="11"/>
      <c r="O130" s="11"/>
    </row>
    <row r="131" spans="1:24" hidden="1">
      <c r="A131" s="134"/>
      <c r="B131" s="169"/>
      <c r="C131" s="124" t="s">
        <v>138</v>
      </c>
      <c r="D131" s="49"/>
      <c r="E131" s="49"/>
      <c r="F131" s="49"/>
      <c r="G131" s="49"/>
      <c r="H131" s="11"/>
      <c r="I131" s="11"/>
      <c r="J131" s="11"/>
      <c r="K131" s="11"/>
      <c r="L131" s="11"/>
      <c r="M131" s="11"/>
      <c r="N131" s="11"/>
      <c r="O131" s="11"/>
    </row>
    <row r="132" spans="1:24" ht="47.25" hidden="1">
      <c r="A132" s="134"/>
      <c r="B132" s="169"/>
      <c r="C132" s="124" t="s">
        <v>139</v>
      </c>
      <c r="D132" s="49"/>
      <c r="E132" s="49"/>
      <c r="F132" s="49"/>
      <c r="G132" s="49"/>
      <c r="H132" s="11"/>
      <c r="I132" s="11"/>
      <c r="J132" s="11"/>
      <c r="K132" s="11"/>
      <c r="L132" s="11"/>
      <c r="M132" s="11"/>
      <c r="N132" s="11"/>
      <c r="O132" s="11"/>
    </row>
    <row r="133" spans="1:24" ht="54" hidden="1" customHeight="1">
      <c r="A133" s="134"/>
      <c r="B133" s="169"/>
      <c r="C133" s="124" t="s">
        <v>140</v>
      </c>
      <c r="D133" s="48"/>
      <c r="E133" s="48"/>
      <c r="F133" s="48"/>
      <c r="G133" s="48"/>
      <c r="H133" s="11"/>
      <c r="I133" s="11"/>
      <c r="J133" s="11"/>
      <c r="K133" s="11"/>
      <c r="L133" s="11"/>
      <c r="M133" s="11"/>
      <c r="N133" s="11"/>
      <c r="O133" s="11"/>
    </row>
    <row r="134" spans="1:24" ht="31.5" hidden="1">
      <c r="A134" s="134"/>
      <c r="B134" s="169"/>
      <c r="C134" s="124" t="s">
        <v>141</v>
      </c>
      <c r="D134" s="48"/>
      <c r="E134" s="48"/>
      <c r="F134" s="48"/>
      <c r="G134" s="48"/>
      <c r="H134" s="11"/>
      <c r="I134" s="11"/>
      <c r="J134" s="11"/>
      <c r="K134" s="11"/>
      <c r="L134" s="11"/>
      <c r="M134" s="11"/>
      <c r="N134" s="11"/>
      <c r="O134" s="11"/>
    </row>
    <row r="135" spans="1:24" ht="31.5" hidden="1">
      <c r="A135" s="134"/>
      <c r="B135" s="169"/>
      <c r="C135" s="124" t="s">
        <v>142</v>
      </c>
      <c r="D135" s="49"/>
      <c r="E135" s="49"/>
      <c r="F135" s="49"/>
      <c r="G135" s="49"/>
      <c r="H135" s="11"/>
      <c r="I135" s="11"/>
      <c r="J135" s="11"/>
      <c r="K135" s="11"/>
      <c r="L135" s="11"/>
      <c r="M135" s="11"/>
      <c r="N135" s="11"/>
      <c r="O135" s="11"/>
    </row>
    <row r="136" spans="1:24" ht="27" hidden="1" customHeight="1">
      <c r="A136" s="134"/>
      <c r="B136" s="169"/>
      <c r="C136" s="124" t="s">
        <v>26</v>
      </c>
      <c r="D136" s="48"/>
      <c r="E136" s="48"/>
      <c r="F136" s="48"/>
      <c r="G136" s="48"/>
      <c r="H136" s="11"/>
      <c r="I136" s="11"/>
      <c r="J136" s="11"/>
      <c r="K136" s="11"/>
      <c r="L136" s="11"/>
      <c r="M136" s="11"/>
      <c r="N136" s="11"/>
      <c r="O136" s="11"/>
    </row>
    <row r="137" spans="1:24" ht="27.75" customHeight="1">
      <c r="A137" s="54" t="s">
        <v>137</v>
      </c>
      <c r="B137" s="55"/>
      <c r="C137" s="244" t="s">
        <v>143</v>
      </c>
      <c r="D137" s="244"/>
      <c r="E137" s="244"/>
      <c r="F137" s="244"/>
      <c r="G137" s="244"/>
      <c r="H137" s="244"/>
      <c r="I137" s="244"/>
      <c r="J137" s="244"/>
      <c r="K137" s="244"/>
      <c r="L137" s="244"/>
      <c r="M137" s="244"/>
      <c r="N137" s="244"/>
      <c r="O137" s="244"/>
    </row>
    <row r="138" spans="1:24" ht="18.75" customHeight="1">
      <c r="A138" s="249"/>
      <c r="B138" s="124" t="s">
        <v>85</v>
      </c>
      <c r="C138" s="250" t="s">
        <v>18</v>
      </c>
      <c r="D138" s="128">
        <v>828</v>
      </c>
      <c r="E138" s="128" t="s">
        <v>111</v>
      </c>
      <c r="F138" s="128" t="s">
        <v>144</v>
      </c>
      <c r="G138" s="124"/>
      <c r="H138" s="11">
        <f>SUM(H139:H140)</f>
        <v>706748.9</v>
      </c>
      <c r="I138" s="11">
        <f t="shared" ref="I138:N138" si="18">SUM(I141:I147)</f>
        <v>1349397.6</v>
      </c>
      <c r="J138" s="11">
        <f t="shared" si="18"/>
        <v>1311283</v>
      </c>
      <c r="K138" s="11">
        <f t="shared" si="18"/>
        <v>1609160.4</v>
      </c>
      <c r="L138" s="11">
        <f t="shared" si="18"/>
        <v>5673976.3999999994</v>
      </c>
      <c r="M138" s="11">
        <f t="shared" si="18"/>
        <v>6057926.5999999996</v>
      </c>
      <c r="N138" s="11">
        <f t="shared" si="18"/>
        <v>6239477</v>
      </c>
      <c r="O138" s="11">
        <f t="shared" ref="O138:O147" si="19">SUM(H138:N138)</f>
        <v>22947969.899999999</v>
      </c>
      <c r="Q138" s="31">
        <f t="shared" ref="Q138:W138" si="20">H138+H153</f>
        <v>716376.70000000007</v>
      </c>
      <c r="R138" s="31">
        <f t="shared" si="20"/>
        <v>1395520.7000000002</v>
      </c>
      <c r="S138" s="31">
        <f t="shared" si="20"/>
        <v>1386869.7</v>
      </c>
      <c r="T138" s="31">
        <f t="shared" si="20"/>
        <v>1609160.4</v>
      </c>
      <c r="U138" s="31">
        <f t="shared" si="20"/>
        <v>5673976.3999999994</v>
      </c>
      <c r="V138" s="31">
        <f t="shared" si="20"/>
        <v>6057926.5999999996</v>
      </c>
      <c r="W138" s="31">
        <f t="shared" si="20"/>
        <v>6239477</v>
      </c>
      <c r="X138" s="32">
        <f>SUM(Q138:W138)</f>
        <v>23079307.5</v>
      </c>
    </row>
    <row r="139" spans="1:24" ht="48" customHeight="1">
      <c r="A139" s="249"/>
      <c r="B139" s="124"/>
      <c r="C139" s="250"/>
      <c r="D139" s="128">
        <v>828</v>
      </c>
      <c r="E139" s="128" t="s">
        <v>111</v>
      </c>
      <c r="F139" s="128" t="s">
        <v>145</v>
      </c>
      <c r="G139" s="128" t="s">
        <v>146</v>
      </c>
      <c r="H139" s="11">
        <f>290584.4+88247.8+121337.5+63601.2+15066</f>
        <v>578836.9</v>
      </c>
      <c r="I139" s="11"/>
      <c r="J139" s="11"/>
      <c r="K139" s="11"/>
      <c r="L139" s="11"/>
      <c r="M139" s="11"/>
      <c r="N139" s="11"/>
      <c r="O139" s="11">
        <f t="shared" si="19"/>
        <v>578836.9</v>
      </c>
    </row>
    <row r="140" spans="1:24" ht="24.75" customHeight="1">
      <c r="A140" s="249"/>
      <c r="B140" s="124"/>
      <c r="C140" s="250"/>
      <c r="D140" s="131">
        <v>828</v>
      </c>
      <c r="E140" s="131" t="s">
        <v>111</v>
      </c>
      <c r="F140" s="131" t="s">
        <v>147</v>
      </c>
      <c r="G140" s="131">
        <v>500</v>
      </c>
      <c r="H140" s="11">
        <v>127912</v>
      </c>
      <c r="I140" s="11"/>
      <c r="J140" s="11"/>
      <c r="K140" s="11"/>
      <c r="L140" s="11"/>
      <c r="M140" s="11"/>
      <c r="N140" s="11"/>
      <c r="O140" s="11">
        <f t="shared" si="19"/>
        <v>127912</v>
      </c>
    </row>
    <row r="141" spans="1:24" ht="24" customHeight="1">
      <c r="A141" s="249"/>
      <c r="B141" s="10"/>
      <c r="C141" s="250"/>
      <c r="D141" s="129">
        <v>828</v>
      </c>
      <c r="E141" s="129" t="s">
        <v>111</v>
      </c>
      <c r="F141" s="129" t="s">
        <v>148</v>
      </c>
      <c r="G141" s="130">
        <v>400</v>
      </c>
      <c r="H141" s="34"/>
      <c r="I141" s="34">
        <f>204708-6734.5-15066</f>
        <v>182907.5</v>
      </c>
      <c r="J141" s="34"/>
      <c r="K141" s="34">
        <v>1059760.3999999999</v>
      </c>
      <c r="L141" s="34">
        <f>5927829.6+298138-576991.2</f>
        <v>5648976.3999999994</v>
      </c>
      <c r="M141" s="34">
        <f>6929000-896073.4</f>
        <v>6032926.5999999996</v>
      </c>
      <c r="N141" s="34">
        <f>7454557-1240080</f>
        <v>6214477</v>
      </c>
      <c r="O141" s="34">
        <f t="shared" si="19"/>
        <v>19139047.899999999</v>
      </c>
    </row>
    <row r="142" spans="1:24" ht="19.5" customHeight="1">
      <c r="A142" s="249"/>
      <c r="B142" s="124"/>
      <c r="C142" s="250"/>
      <c r="D142" s="128">
        <v>828</v>
      </c>
      <c r="E142" s="128" t="s">
        <v>111</v>
      </c>
      <c r="F142" s="128" t="s">
        <v>149</v>
      </c>
      <c r="G142" s="131">
        <v>400</v>
      </c>
      <c r="H142" s="11"/>
      <c r="I142" s="11">
        <v>165593.29999999999</v>
      </c>
      <c r="J142" s="11">
        <v>100000</v>
      </c>
      <c r="K142" s="11">
        <v>390000</v>
      </c>
      <c r="L142" s="11"/>
      <c r="M142" s="11"/>
      <c r="N142" s="11"/>
      <c r="O142" s="11">
        <f t="shared" si="19"/>
        <v>655593.30000000005</v>
      </c>
    </row>
    <row r="143" spans="1:24" ht="19.5" customHeight="1">
      <c r="A143" s="249"/>
      <c r="B143" s="124"/>
      <c r="C143" s="250"/>
      <c r="D143" s="128">
        <v>828</v>
      </c>
      <c r="E143" s="128" t="s">
        <v>111</v>
      </c>
      <c r="F143" s="128" t="s">
        <v>150</v>
      </c>
      <c r="G143" s="131">
        <v>500</v>
      </c>
      <c r="H143" s="11"/>
      <c r="I143" s="11">
        <v>709126.4</v>
      </c>
      <c r="J143" s="11">
        <v>1147079.2</v>
      </c>
      <c r="K143" s="11"/>
      <c r="L143" s="11"/>
      <c r="M143" s="11"/>
      <c r="N143" s="11"/>
      <c r="O143" s="11">
        <f t="shared" si="19"/>
        <v>1856205.6</v>
      </c>
    </row>
    <row r="144" spans="1:24" ht="19.5" customHeight="1">
      <c r="A144" s="249"/>
      <c r="B144" s="124"/>
      <c r="C144" s="250"/>
      <c r="D144" s="128">
        <v>828</v>
      </c>
      <c r="E144" s="128" t="s">
        <v>111</v>
      </c>
      <c r="F144" s="128" t="s">
        <v>151</v>
      </c>
      <c r="G144" s="131">
        <v>400</v>
      </c>
      <c r="H144" s="11"/>
      <c r="I144" s="11">
        <v>71215.8</v>
      </c>
      <c r="J144" s="11">
        <v>36203.800000000003</v>
      </c>
      <c r="K144" s="11">
        <v>59000</v>
      </c>
      <c r="L144" s="11"/>
      <c r="M144" s="11"/>
      <c r="N144" s="11"/>
      <c r="O144" s="11">
        <f t="shared" si="19"/>
        <v>166419.6</v>
      </c>
    </row>
    <row r="145" spans="1:24" ht="19.5" customHeight="1">
      <c r="A145" s="249"/>
      <c r="B145" s="124"/>
      <c r="C145" s="250"/>
      <c r="D145" s="128">
        <v>828</v>
      </c>
      <c r="E145" s="128" t="s">
        <v>111</v>
      </c>
      <c r="F145" s="128" t="s">
        <v>152</v>
      </c>
      <c r="G145" s="131">
        <v>200</v>
      </c>
      <c r="H145" s="11"/>
      <c r="I145" s="11">
        <v>56766.1</v>
      </c>
      <c r="J145" s="56"/>
      <c r="K145" s="56"/>
      <c r="L145" s="56"/>
      <c r="M145" s="56"/>
      <c r="N145" s="56"/>
      <c r="O145" s="11">
        <f t="shared" si="19"/>
        <v>56766.1</v>
      </c>
    </row>
    <row r="146" spans="1:24" ht="19.5" customHeight="1">
      <c r="A146" s="249"/>
      <c r="B146" s="124"/>
      <c r="C146" s="250"/>
      <c r="D146" s="128">
        <v>828</v>
      </c>
      <c r="E146" s="128" t="s">
        <v>111</v>
      </c>
      <c r="F146" s="128" t="s">
        <v>152</v>
      </c>
      <c r="G146" s="131">
        <v>400</v>
      </c>
      <c r="H146" s="11"/>
      <c r="I146" s="11">
        <v>70135.957999999999</v>
      </c>
      <c r="J146" s="38">
        <f>28000</f>
        <v>28000</v>
      </c>
      <c r="K146" s="38">
        <f>24400+76000</f>
        <v>100400</v>
      </c>
      <c r="L146" s="38">
        <v>25000</v>
      </c>
      <c r="M146" s="38">
        <v>25000</v>
      </c>
      <c r="N146" s="38">
        <v>25000</v>
      </c>
      <c r="O146" s="11">
        <f t="shared" si="19"/>
        <v>273535.95799999998</v>
      </c>
    </row>
    <row r="147" spans="1:24" ht="19.5" customHeight="1">
      <c r="A147" s="249"/>
      <c r="B147" s="124"/>
      <c r="C147" s="250"/>
      <c r="D147" s="128">
        <v>828</v>
      </c>
      <c r="E147" s="128" t="s">
        <v>111</v>
      </c>
      <c r="F147" s="128" t="s">
        <v>152</v>
      </c>
      <c r="G147" s="131">
        <v>800</v>
      </c>
      <c r="H147" s="11"/>
      <c r="I147" s="11">
        <v>93652.542000000001</v>
      </c>
      <c r="J147" s="57"/>
      <c r="K147" s="57"/>
      <c r="L147" s="57"/>
      <c r="M147" s="57"/>
      <c r="N147" s="58"/>
      <c r="O147" s="11">
        <f t="shared" si="19"/>
        <v>93652.542000000001</v>
      </c>
    </row>
    <row r="148" spans="1:24" ht="39.75" customHeight="1">
      <c r="A148" s="127"/>
      <c r="B148" s="124"/>
      <c r="C148" s="124" t="s">
        <v>20</v>
      </c>
      <c r="D148" s="48"/>
      <c r="E148" s="48"/>
      <c r="F148" s="48"/>
      <c r="G148" s="48"/>
      <c r="H148" s="11"/>
      <c r="I148" s="11"/>
      <c r="J148" s="11"/>
      <c r="K148" s="11"/>
      <c r="L148" s="11"/>
      <c r="M148" s="11"/>
      <c r="N148" s="11"/>
      <c r="O148" s="11"/>
    </row>
    <row r="149" spans="1:24" ht="34.5" customHeight="1">
      <c r="A149" s="127"/>
      <c r="B149" s="124"/>
      <c r="C149" s="124" t="s">
        <v>21</v>
      </c>
      <c r="D149" s="49"/>
      <c r="E149" s="49"/>
      <c r="F149" s="49"/>
      <c r="G149" s="49"/>
      <c r="H149" s="11"/>
      <c r="I149" s="11"/>
      <c r="J149" s="11"/>
      <c r="K149" s="11"/>
      <c r="L149" s="11"/>
      <c r="M149" s="11"/>
      <c r="N149" s="11"/>
      <c r="O149" s="11"/>
    </row>
    <row r="150" spans="1:24" ht="28.7" customHeight="1">
      <c r="A150" s="127"/>
      <c r="B150" s="10"/>
      <c r="C150" s="10" t="s">
        <v>112</v>
      </c>
      <c r="D150" s="49"/>
      <c r="E150" s="49"/>
      <c r="F150" s="49"/>
      <c r="G150" s="49"/>
      <c r="H150" s="11">
        <f>H140</f>
        <v>127912</v>
      </c>
      <c r="I150" s="11">
        <f t="shared" ref="I150:N150" si="21">I143</f>
        <v>709126.4</v>
      </c>
      <c r="J150" s="11">
        <f t="shared" si="21"/>
        <v>1147079.2</v>
      </c>
      <c r="K150" s="11">
        <f t="shared" si="21"/>
        <v>0</v>
      </c>
      <c r="L150" s="11">
        <f t="shared" si="21"/>
        <v>0</v>
      </c>
      <c r="M150" s="11">
        <f t="shared" si="21"/>
        <v>0</v>
      </c>
      <c r="N150" s="11">
        <f t="shared" si="21"/>
        <v>0</v>
      </c>
      <c r="O150" s="11">
        <f>SUM(H150:N150)</f>
        <v>1984117.6</v>
      </c>
    </row>
    <row r="151" spans="1:24" ht="66.75" customHeight="1">
      <c r="A151" s="127"/>
      <c r="B151" s="124"/>
      <c r="C151" s="124" t="s">
        <v>23</v>
      </c>
      <c r="D151" s="48"/>
      <c r="E151" s="48"/>
      <c r="F151" s="48"/>
      <c r="G151" s="48"/>
      <c r="H151" s="11"/>
      <c r="I151" s="11"/>
      <c r="J151" s="11"/>
      <c r="K151" s="11"/>
      <c r="L151" s="11"/>
      <c r="M151" s="11"/>
      <c r="N151" s="11"/>
      <c r="O151" s="11"/>
    </row>
    <row r="152" spans="1:24" ht="52.5" customHeight="1">
      <c r="A152" s="127"/>
      <c r="B152" s="124"/>
      <c r="C152" s="124" t="s">
        <v>24</v>
      </c>
      <c r="D152" s="48"/>
      <c r="E152" s="48"/>
      <c r="F152" s="48"/>
      <c r="G152" s="48"/>
      <c r="H152" s="11"/>
      <c r="I152" s="11"/>
      <c r="J152" s="11"/>
      <c r="K152" s="11"/>
      <c r="L152" s="11"/>
      <c r="M152" s="11"/>
      <c r="N152" s="11"/>
      <c r="O152" s="11"/>
    </row>
    <row r="153" spans="1:24" ht="28.5" hidden="1" customHeight="1">
      <c r="A153" s="127"/>
      <c r="B153" s="124"/>
      <c r="C153" s="158" t="s">
        <v>344</v>
      </c>
      <c r="D153" s="161"/>
      <c r="E153" s="161"/>
      <c r="F153" s="161"/>
      <c r="G153" s="161"/>
      <c r="H153" s="160">
        <v>9627.7999999999902</v>
      </c>
      <c r="I153" s="160">
        <v>46123.1</v>
      </c>
      <c r="J153" s="160">
        <v>75586.7</v>
      </c>
      <c r="K153" s="160"/>
      <c r="L153" s="160"/>
      <c r="M153" s="160"/>
      <c r="N153" s="160"/>
      <c r="O153" s="160">
        <f>SUM(H153:N153)</f>
        <v>131337.59999999998</v>
      </c>
      <c r="Q153" s="59">
        <f>O138+O153</f>
        <v>23079307.5</v>
      </c>
    </row>
    <row r="154" spans="1:24" ht="28.5" customHeight="1">
      <c r="A154" s="157"/>
      <c r="B154" s="155"/>
      <c r="C154" s="155" t="s">
        <v>25</v>
      </c>
      <c r="D154" s="49"/>
      <c r="E154" s="49"/>
      <c r="F154" s="49"/>
      <c r="G154" s="49"/>
      <c r="H154" s="11">
        <f>H150+H153</f>
        <v>137539.79999999999</v>
      </c>
      <c r="I154" s="11">
        <f t="shared" ref="I154:J154" si="22">I150+I153</f>
        <v>755249.5</v>
      </c>
      <c r="J154" s="11">
        <f t="shared" si="22"/>
        <v>1222665.8999999999</v>
      </c>
      <c r="K154" s="11"/>
      <c r="L154" s="11"/>
      <c r="M154" s="11"/>
      <c r="N154" s="11"/>
      <c r="O154" s="11">
        <f>O150+O153</f>
        <v>2115455.2000000002</v>
      </c>
      <c r="Q154" s="59"/>
    </row>
    <row r="155" spans="1:24" ht="22.35" customHeight="1">
      <c r="A155" s="127"/>
      <c r="B155" s="124"/>
      <c r="C155" s="124" t="s">
        <v>26</v>
      </c>
      <c r="D155" s="48"/>
      <c r="E155" s="48"/>
      <c r="F155" s="48"/>
      <c r="G155" s="48"/>
      <c r="H155" s="11"/>
      <c r="I155" s="11"/>
      <c r="J155" s="11"/>
      <c r="K155" s="11"/>
      <c r="L155" s="11"/>
      <c r="M155" s="11"/>
      <c r="N155" s="11"/>
      <c r="O155" s="11"/>
      <c r="Q155" s="31"/>
    </row>
    <row r="156" spans="1:24" ht="29.25" customHeight="1">
      <c r="A156" s="133" t="s">
        <v>153</v>
      </c>
      <c r="B156" s="10"/>
      <c r="C156" s="244" t="s">
        <v>154</v>
      </c>
      <c r="D156" s="244"/>
      <c r="E156" s="244"/>
      <c r="F156" s="244"/>
      <c r="G156" s="244"/>
      <c r="H156" s="244"/>
      <c r="I156" s="244"/>
      <c r="J156" s="244"/>
      <c r="K156" s="244"/>
      <c r="L156" s="244"/>
      <c r="M156" s="244"/>
      <c r="N156" s="244"/>
      <c r="O156" s="244"/>
    </row>
    <row r="157" spans="1:24" ht="18" customHeight="1">
      <c r="A157" s="245"/>
      <c r="B157" s="169" t="s">
        <v>90</v>
      </c>
      <c r="C157" s="166" t="s">
        <v>18</v>
      </c>
      <c r="D157" s="128">
        <v>828</v>
      </c>
      <c r="E157" s="128" t="s">
        <v>111</v>
      </c>
      <c r="F157" s="128" t="s">
        <v>155</v>
      </c>
      <c r="G157" s="124"/>
      <c r="H157" s="11">
        <f>SUM(H158:H161)</f>
        <v>6978370.5</v>
      </c>
      <c r="I157" s="11">
        <f t="shared" ref="I157:N157" si="23">SUM(I162:I175)</f>
        <v>8205527.1999999993</v>
      </c>
      <c r="J157" s="11">
        <f t="shared" si="23"/>
        <v>9493531.6999999993</v>
      </c>
      <c r="K157" s="11">
        <f t="shared" si="23"/>
        <v>8456758.9000000004</v>
      </c>
      <c r="L157" s="11">
        <f t="shared" si="23"/>
        <v>9139911.1999999993</v>
      </c>
      <c r="M157" s="11">
        <f t="shared" si="23"/>
        <v>9733883.4000000004</v>
      </c>
      <c r="N157" s="11">
        <f t="shared" si="23"/>
        <v>10377890</v>
      </c>
      <c r="O157" s="11">
        <f t="shared" ref="O157:O175" si="24">SUM(H157:N157)</f>
        <v>62385872.899999999</v>
      </c>
      <c r="Q157" s="31">
        <f t="shared" ref="Q157:W157" si="25">H157+H181</f>
        <v>7101764.2999999998</v>
      </c>
      <c r="R157" s="31">
        <f t="shared" si="25"/>
        <v>8309159.1999999993</v>
      </c>
      <c r="S157" s="31">
        <f t="shared" si="25"/>
        <v>9597326.0999999996</v>
      </c>
      <c r="T157" s="31">
        <f t="shared" si="25"/>
        <v>8456758.9000000004</v>
      </c>
      <c r="U157" s="31">
        <f t="shared" si="25"/>
        <v>9139911.1999999993</v>
      </c>
      <c r="V157" s="31">
        <f t="shared" si="25"/>
        <v>9733883.4000000004</v>
      </c>
      <c r="W157" s="31">
        <f t="shared" si="25"/>
        <v>10377890</v>
      </c>
      <c r="X157" s="32">
        <f>SUM(Q157:W157)</f>
        <v>62716693.100000001</v>
      </c>
    </row>
    <row r="158" spans="1:24" ht="19.5" customHeight="1">
      <c r="A158" s="245"/>
      <c r="B158" s="169"/>
      <c r="C158" s="166"/>
      <c r="D158" s="128">
        <v>828</v>
      </c>
      <c r="E158" s="128" t="s">
        <v>111</v>
      </c>
      <c r="F158" s="128" t="s">
        <v>156</v>
      </c>
      <c r="G158" s="128" t="s">
        <v>157</v>
      </c>
      <c r="H158" s="11">
        <f>3957951.7+500+813458.2+33723.2+1040</f>
        <v>4806673.1000000006</v>
      </c>
      <c r="I158" s="11"/>
      <c r="J158" s="11"/>
      <c r="K158" s="11"/>
      <c r="L158" s="11"/>
      <c r="M158" s="11"/>
      <c r="N158" s="11"/>
      <c r="O158" s="11">
        <f t="shared" si="24"/>
        <v>4806673.1000000006</v>
      </c>
    </row>
    <row r="159" spans="1:24" ht="19.5" customHeight="1">
      <c r="A159" s="245"/>
      <c r="B159" s="169"/>
      <c r="C159" s="166"/>
      <c r="D159" s="128">
        <v>828</v>
      </c>
      <c r="E159" s="128" t="s">
        <v>111</v>
      </c>
      <c r="F159" s="128" t="s">
        <v>158</v>
      </c>
      <c r="G159" s="128" t="s">
        <v>159</v>
      </c>
      <c r="H159" s="11">
        <f>173842.1+22328-15066</f>
        <v>181104.1</v>
      </c>
      <c r="I159" s="11"/>
      <c r="J159" s="11"/>
      <c r="K159" s="11"/>
      <c r="L159" s="11"/>
      <c r="M159" s="11"/>
      <c r="N159" s="11"/>
      <c r="O159" s="11">
        <f t="shared" si="24"/>
        <v>181104.1</v>
      </c>
    </row>
    <row r="160" spans="1:24" ht="18.75" customHeight="1">
      <c r="A160" s="245"/>
      <c r="B160" s="169"/>
      <c r="C160" s="166"/>
      <c r="D160" s="128">
        <v>828</v>
      </c>
      <c r="E160" s="128" t="s">
        <v>111</v>
      </c>
      <c r="F160" s="128" t="s">
        <v>160</v>
      </c>
      <c r="G160" s="131">
        <v>500</v>
      </c>
      <c r="H160" s="11">
        <v>1860280.2</v>
      </c>
      <c r="I160" s="11"/>
      <c r="J160" s="11"/>
      <c r="K160" s="11"/>
      <c r="L160" s="11"/>
      <c r="M160" s="11"/>
      <c r="N160" s="11"/>
      <c r="O160" s="11">
        <f t="shared" si="24"/>
        <v>1860280.2</v>
      </c>
    </row>
    <row r="161" spans="1:18" ht="22.5" customHeight="1">
      <c r="A161" s="245"/>
      <c r="B161" s="169"/>
      <c r="C161" s="166"/>
      <c r="D161" s="128">
        <v>828</v>
      </c>
      <c r="E161" s="128" t="s">
        <v>111</v>
      </c>
      <c r="F161" s="128" t="s">
        <v>161</v>
      </c>
      <c r="G161" s="128" t="s">
        <v>157</v>
      </c>
      <c r="H161" s="11">
        <f>88921.3+32508.6+8883.2</f>
        <v>130313.09999999999</v>
      </c>
      <c r="I161" s="11"/>
      <c r="J161" s="11"/>
      <c r="K161" s="11"/>
      <c r="L161" s="11"/>
      <c r="M161" s="11"/>
      <c r="N161" s="11"/>
      <c r="O161" s="11">
        <f t="shared" si="24"/>
        <v>130313.09999999999</v>
      </c>
    </row>
    <row r="162" spans="1:18" ht="21" customHeight="1">
      <c r="A162" s="245"/>
      <c r="B162" s="169"/>
      <c r="C162" s="166"/>
      <c r="D162" s="128">
        <v>828</v>
      </c>
      <c r="E162" s="128" t="s">
        <v>111</v>
      </c>
      <c r="F162" s="128" t="s">
        <v>162</v>
      </c>
      <c r="G162" s="128">
        <v>200</v>
      </c>
      <c r="H162" s="11"/>
      <c r="I162" s="60">
        <v>3717060</v>
      </c>
      <c r="J162" s="61">
        <f>4608615.6-J163-J164-J166</f>
        <v>4237107.0999999996</v>
      </c>
      <c r="K162" s="61">
        <f>4971571.3-K163-K164-K166</f>
        <v>4592929.8</v>
      </c>
      <c r="L162" s="61">
        <f>5376991.2-L163-L164-L166</f>
        <v>4998349.7</v>
      </c>
      <c r="M162" s="61">
        <f>5796073.4-M163-M164-M166</f>
        <v>5417431.9000000004</v>
      </c>
      <c r="N162" s="62">
        <f>6240080-N163-N164-N166</f>
        <v>5861438.5</v>
      </c>
      <c r="O162" s="11">
        <f t="shared" si="24"/>
        <v>28824317</v>
      </c>
      <c r="R162" s="31"/>
    </row>
    <row r="163" spans="1:18" ht="21" customHeight="1">
      <c r="A163" s="245"/>
      <c r="B163" s="169"/>
      <c r="C163" s="166"/>
      <c r="D163" s="128">
        <v>828</v>
      </c>
      <c r="E163" s="128" t="s">
        <v>111</v>
      </c>
      <c r="F163" s="128" t="s">
        <v>162</v>
      </c>
      <c r="G163" s="128">
        <v>800</v>
      </c>
      <c r="H163" s="11"/>
      <c r="I163" s="11">
        <v>5000</v>
      </c>
      <c r="J163" s="11">
        <v>5000</v>
      </c>
      <c r="K163" s="11">
        <v>5000</v>
      </c>
      <c r="L163" s="11">
        <v>5000</v>
      </c>
      <c r="M163" s="11">
        <v>5000</v>
      </c>
      <c r="N163" s="11">
        <v>5000</v>
      </c>
      <c r="O163" s="11">
        <f t="shared" si="24"/>
        <v>30000</v>
      </c>
    </row>
    <row r="164" spans="1:18" ht="21" customHeight="1">
      <c r="A164" s="245"/>
      <c r="B164" s="169"/>
      <c r="C164" s="166"/>
      <c r="D164" s="128">
        <v>828</v>
      </c>
      <c r="E164" s="128" t="s">
        <v>111</v>
      </c>
      <c r="F164" s="128" t="s">
        <v>163</v>
      </c>
      <c r="G164" s="128">
        <v>200</v>
      </c>
      <c r="H164" s="11"/>
      <c r="I164" s="11">
        <v>337457.4</v>
      </c>
      <c r="J164" s="11">
        <v>189508.5</v>
      </c>
      <c r="K164" s="11">
        <v>189641.5</v>
      </c>
      <c r="L164" s="11">
        <v>189641.5</v>
      </c>
      <c r="M164" s="11">
        <v>189641.5</v>
      </c>
      <c r="N164" s="11">
        <v>189641.5</v>
      </c>
      <c r="O164" s="11">
        <f t="shared" si="24"/>
        <v>1285531.8999999999</v>
      </c>
    </row>
    <row r="165" spans="1:18" ht="21" customHeight="1">
      <c r="A165" s="245"/>
      <c r="B165" s="169"/>
      <c r="C165" s="166"/>
      <c r="D165" s="128">
        <v>828</v>
      </c>
      <c r="E165" s="128" t="s">
        <v>111</v>
      </c>
      <c r="F165" s="128" t="s">
        <v>163</v>
      </c>
      <c r="G165" s="128">
        <v>600</v>
      </c>
      <c r="H165" s="11"/>
      <c r="I165" s="11">
        <v>24075</v>
      </c>
      <c r="J165" s="11">
        <v>24774</v>
      </c>
      <c r="K165" s="11">
        <v>25363</v>
      </c>
      <c r="L165" s="11">
        <v>25363</v>
      </c>
      <c r="M165" s="11">
        <v>25363</v>
      </c>
      <c r="N165" s="11">
        <v>25363</v>
      </c>
      <c r="O165" s="11">
        <f t="shared" si="24"/>
        <v>150301</v>
      </c>
    </row>
    <row r="166" spans="1:18" ht="21" customHeight="1">
      <c r="A166" s="245"/>
      <c r="B166" s="169"/>
      <c r="C166" s="166"/>
      <c r="D166" s="128">
        <v>828</v>
      </c>
      <c r="E166" s="128" t="s">
        <v>111</v>
      </c>
      <c r="F166" s="128" t="s">
        <v>164</v>
      </c>
      <c r="G166" s="128">
        <v>200</v>
      </c>
      <c r="H166" s="11"/>
      <c r="I166" s="11">
        <v>167274.79999999999</v>
      </c>
      <c r="J166" s="11">
        <v>177000</v>
      </c>
      <c r="K166" s="11">
        <v>184000</v>
      </c>
      <c r="L166" s="11">
        <v>184000</v>
      </c>
      <c r="M166" s="11">
        <v>184000</v>
      </c>
      <c r="N166" s="11">
        <v>184000</v>
      </c>
      <c r="O166" s="11">
        <f t="shared" si="24"/>
        <v>1080274.8</v>
      </c>
    </row>
    <row r="167" spans="1:18" ht="21" customHeight="1">
      <c r="A167" s="245"/>
      <c r="B167" s="169"/>
      <c r="C167" s="166"/>
      <c r="D167" s="128">
        <v>828</v>
      </c>
      <c r="E167" s="128" t="s">
        <v>111</v>
      </c>
      <c r="F167" s="128" t="s">
        <v>165</v>
      </c>
      <c r="G167" s="128">
        <v>200</v>
      </c>
      <c r="H167" s="11"/>
      <c r="I167" s="60">
        <v>2042455.9</v>
      </c>
      <c r="J167" s="61">
        <v>1656920.3</v>
      </c>
      <c r="K167" s="63">
        <v>2804224.6</v>
      </c>
      <c r="L167" s="38">
        <f>5300000+732557-3000000</f>
        <v>3032557</v>
      </c>
      <c r="M167" s="38">
        <f>5400000+807447-3000000</f>
        <v>3207447</v>
      </c>
      <c r="N167" s="64">
        <f>5500000+907447-3000000</f>
        <v>3407447</v>
      </c>
      <c r="O167" s="11">
        <f t="shared" si="24"/>
        <v>16151051.800000001</v>
      </c>
    </row>
    <row r="168" spans="1:18" ht="21" customHeight="1">
      <c r="A168" s="245"/>
      <c r="B168" s="169"/>
      <c r="C168" s="166"/>
      <c r="D168" s="128">
        <v>828</v>
      </c>
      <c r="E168" s="128" t="s">
        <v>111</v>
      </c>
      <c r="F168" s="128" t="s">
        <v>166</v>
      </c>
      <c r="G168" s="128">
        <v>500</v>
      </c>
      <c r="H168" s="11"/>
      <c r="I168" s="11">
        <v>1582380.7</v>
      </c>
      <c r="J168" s="11">
        <v>1647172.3</v>
      </c>
      <c r="K168" s="11"/>
      <c r="L168" s="11"/>
      <c r="M168" s="11"/>
      <c r="N168" s="11"/>
      <c r="O168" s="11">
        <f t="shared" si="24"/>
        <v>3229553</v>
      </c>
    </row>
    <row r="169" spans="1:18" ht="21" customHeight="1">
      <c r="A169" s="245"/>
      <c r="B169" s="169"/>
      <c r="C169" s="166"/>
      <c r="D169" s="128">
        <v>828</v>
      </c>
      <c r="E169" s="128" t="s">
        <v>111</v>
      </c>
      <c r="F169" s="128" t="s">
        <v>167</v>
      </c>
      <c r="G169" s="128">
        <v>200</v>
      </c>
      <c r="H169" s="11"/>
      <c r="I169" s="11"/>
      <c r="J169" s="11">
        <v>415446.5</v>
      </c>
      <c r="K169" s="11">
        <v>100000</v>
      </c>
      <c r="L169" s="11">
        <v>100000</v>
      </c>
      <c r="M169" s="11">
        <v>100000</v>
      </c>
      <c r="N169" s="11">
        <v>100000</v>
      </c>
      <c r="O169" s="11">
        <f t="shared" si="24"/>
        <v>815446.5</v>
      </c>
    </row>
    <row r="170" spans="1:18" ht="21" hidden="1" customHeight="1">
      <c r="A170" s="245"/>
      <c r="B170" s="169"/>
      <c r="C170" s="166"/>
      <c r="D170" s="128">
        <v>828</v>
      </c>
      <c r="E170" s="128" t="s">
        <v>111</v>
      </c>
      <c r="F170" s="128" t="s">
        <v>168</v>
      </c>
      <c r="G170" s="128">
        <v>500</v>
      </c>
      <c r="H170" s="11"/>
      <c r="I170" s="11"/>
      <c r="J170" s="11"/>
      <c r="K170" s="11"/>
      <c r="L170" s="11"/>
      <c r="M170" s="11"/>
      <c r="N170" s="11"/>
      <c r="O170" s="11">
        <f t="shared" si="24"/>
        <v>0</v>
      </c>
    </row>
    <row r="171" spans="1:18" ht="21" customHeight="1">
      <c r="A171" s="245"/>
      <c r="B171" s="169"/>
      <c r="C171" s="166"/>
      <c r="D171" s="131">
        <v>828</v>
      </c>
      <c r="E171" s="131" t="s">
        <v>111</v>
      </c>
      <c r="F171" s="131" t="s">
        <v>169</v>
      </c>
      <c r="G171" s="131">
        <v>200</v>
      </c>
      <c r="H171" s="11"/>
      <c r="I171" s="11">
        <v>215986.5</v>
      </c>
      <c r="J171" s="11">
        <v>483803</v>
      </c>
      <c r="K171" s="11">
        <v>200000</v>
      </c>
      <c r="L171" s="11">
        <v>250000</v>
      </c>
      <c r="M171" s="11">
        <v>250000</v>
      </c>
      <c r="N171" s="11">
        <v>250000</v>
      </c>
      <c r="O171" s="11">
        <f t="shared" si="24"/>
        <v>1649789.5</v>
      </c>
    </row>
    <row r="172" spans="1:18" ht="21" customHeight="1">
      <c r="A172" s="245"/>
      <c r="B172" s="169"/>
      <c r="C172" s="166"/>
      <c r="D172" s="131">
        <v>828</v>
      </c>
      <c r="E172" s="131" t="s">
        <v>111</v>
      </c>
      <c r="F172" s="131" t="s">
        <v>170</v>
      </c>
      <c r="G172" s="131">
        <v>200</v>
      </c>
      <c r="H172" s="11"/>
      <c r="I172" s="11"/>
      <c r="J172" s="11">
        <v>380000</v>
      </c>
      <c r="K172" s="11"/>
      <c r="L172" s="11"/>
      <c r="M172" s="11"/>
      <c r="N172" s="11"/>
      <c r="O172" s="11">
        <f t="shared" si="24"/>
        <v>380000</v>
      </c>
    </row>
    <row r="173" spans="1:18" ht="21" customHeight="1">
      <c r="A173" s="245"/>
      <c r="B173" s="169"/>
      <c r="C173" s="166"/>
      <c r="D173" s="131">
        <v>828</v>
      </c>
      <c r="E173" s="131" t="s">
        <v>111</v>
      </c>
      <c r="F173" s="131" t="s">
        <v>171</v>
      </c>
      <c r="G173" s="131">
        <v>200</v>
      </c>
      <c r="H173" s="11"/>
      <c r="I173" s="11">
        <v>15000</v>
      </c>
      <c r="J173" s="11">
        <v>174800</v>
      </c>
      <c r="K173" s="11">
        <v>250000</v>
      </c>
      <c r="L173" s="11">
        <v>250000</v>
      </c>
      <c r="M173" s="11">
        <v>250000</v>
      </c>
      <c r="N173" s="11">
        <v>250000</v>
      </c>
      <c r="O173" s="11">
        <f t="shared" si="24"/>
        <v>1189800</v>
      </c>
    </row>
    <row r="174" spans="1:18" ht="21" customHeight="1">
      <c r="A174" s="245"/>
      <c r="B174" s="169"/>
      <c r="C174" s="166"/>
      <c r="D174" s="131">
        <v>828</v>
      </c>
      <c r="E174" s="131" t="s">
        <v>111</v>
      </c>
      <c r="F174" s="131" t="s">
        <v>172</v>
      </c>
      <c r="G174" s="131">
        <v>200</v>
      </c>
      <c r="H174" s="11"/>
      <c r="I174" s="35">
        <f>49568.9+38477.2-650</f>
        <v>87396.1</v>
      </c>
      <c r="J174" s="35">
        <f>49000+53000</f>
        <v>102000</v>
      </c>
      <c r="K174" s="35">
        <v>105600</v>
      </c>
      <c r="L174" s="35">
        <v>105000</v>
      </c>
      <c r="M174" s="35">
        <v>105000</v>
      </c>
      <c r="N174" s="35">
        <v>105000</v>
      </c>
      <c r="O174" s="11">
        <f t="shared" si="24"/>
        <v>609996.1</v>
      </c>
    </row>
    <row r="175" spans="1:18" ht="18" customHeight="1">
      <c r="A175" s="245"/>
      <c r="B175" s="169"/>
      <c r="C175" s="166"/>
      <c r="D175" s="131">
        <v>828</v>
      </c>
      <c r="E175" s="131" t="s">
        <v>111</v>
      </c>
      <c r="F175" s="131" t="s">
        <v>172</v>
      </c>
      <c r="G175" s="131">
        <v>800</v>
      </c>
      <c r="H175" s="11"/>
      <c r="I175" s="35">
        <f>10790.8+650</f>
        <v>11440.8</v>
      </c>
      <c r="J175" s="11"/>
      <c r="K175" s="11"/>
      <c r="L175" s="11"/>
      <c r="M175" s="11"/>
      <c r="N175" s="11"/>
      <c r="O175" s="11">
        <f t="shared" si="24"/>
        <v>11440.8</v>
      </c>
    </row>
    <row r="176" spans="1:18" ht="32.25" customHeight="1">
      <c r="A176" s="127"/>
      <c r="B176" s="169"/>
      <c r="C176" s="124" t="s">
        <v>20</v>
      </c>
      <c r="D176" s="48"/>
      <c r="E176" s="48"/>
      <c r="F176" s="48"/>
      <c r="G176" s="48"/>
      <c r="H176" s="11"/>
      <c r="I176" s="11"/>
      <c r="J176" s="11"/>
      <c r="K176" s="11"/>
      <c r="L176" s="11"/>
      <c r="M176" s="11"/>
      <c r="N176" s="11"/>
      <c r="O176" s="11"/>
    </row>
    <row r="177" spans="1:24" ht="36.75" customHeight="1">
      <c r="A177" s="127"/>
      <c r="B177" s="169"/>
      <c r="C177" s="124" t="s">
        <v>21</v>
      </c>
      <c r="D177" s="49"/>
      <c r="E177" s="49"/>
      <c r="F177" s="49"/>
      <c r="G177" s="49"/>
      <c r="H177" s="11"/>
      <c r="I177" s="11"/>
      <c r="J177" s="11"/>
      <c r="K177" s="11"/>
      <c r="L177" s="11"/>
      <c r="M177" s="11"/>
      <c r="N177" s="11"/>
      <c r="O177" s="11"/>
    </row>
    <row r="178" spans="1:24" ht="18.75" customHeight="1">
      <c r="A178" s="127"/>
      <c r="B178" s="169"/>
      <c r="C178" s="10" t="s">
        <v>112</v>
      </c>
      <c r="D178" s="49"/>
      <c r="E178" s="49"/>
      <c r="F178" s="49"/>
      <c r="G178" s="49"/>
      <c r="H178" s="11">
        <f>H160</f>
        <v>1860280.2</v>
      </c>
      <c r="I178" s="11">
        <f t="shared" ref="I178:N178" si="26">I168</f>
        <v>1582380.7</v>
      </c>
      <c r="J178" s="11">
        <f t="shared" si="26"/>
        <v>1647172.3</v>
      </c>
      <c r="K178" s="11">
        <f t="shared" si="26"/>
        <v>0</v>
      </c>
      <c r="L178" s="11">
        <f t="shared" si="26"/>
        <v>0</v>
      </c>
      <c r="M178" s="11">
        <f t="shared" si="26"/>
        <v>0</v>
      </c>
      <c r="N178" s="11">
        <f t="shared" si="26"/>
        <v>0</v>
      </c>
      <c r="O178" s="11">
        <f>SUM(H178:N178)</f>
        <v>5089833.2</v>
      </c>
    </row>
    <row r="179" spans="1:24" ht="69.75" customHeight="1">
      <c r="A179" s="127"/>
      <c r="B179" s="169"/>
      <c r="C179" s="124" t="s">
        <v>23</v>
      </c>
      <c r="D179" s="48"/>
      <c r="E179" s="48"/>
      <c r="F179" s="48"/>
      <c r="G179" s="48"/>
      <c r="H179" s="11"/>
      <c r="I179" s="11"/>
      <c r="J179" s="11"/>
      <c r="K179" s="11"/>
      <c r="L179" s="11"/>
      <c r="M179" s="11"/>
      <c r="N179" s="11"/>
      <c r="O179" s="11"/>
    </row>
    <row r="180" spans="1:24" ht="48" customHeight="1">
      <c r="A180" s="127"/>
      <c r="B180" s="169"/>
      <c r="C180" s="124" t="s">
        <v>24</v>
      </c>
      <c r="D180" s="48"/>
      <c r="E180" s="48"/>
      <c r="F180" s="48"/>
      <c r="G180" s="48"/>
      <c r="H180" s="11"/>
      <c r="I180" s="11"/>
      <c r="J180" s="11"/>
      <c r="K180" s="11"/>
      <c r="L180" s="11"/>
      <c r="M180" s="11"/>
      <c r="N180" s="11"/>
      <c r="O180" s="11"/>
    </row>
    <row r="181" spans="1:24" ht="18.75" hidden="1" customHeight="1">
      <c r="A181" s="127"/>
      <c r="B181" s="169"/>
      <c r="C181" s="158" t="s">
        <v>344</v>
      </c>
      <c r="D181" s="161"/>
      <c r="E181" s="161"/>
      <c r="F181" s="161"/>
      <c r="G181" s="161"/>
      <c r="H181" s="160">
        <v>123393.8</v>
      </c>
      <c r="I181" s="160">
        <v>103632</v>
      </c>
      <c r="J181" s="160">
        <v>103794.4</v>
      </c>
      <c r="K181" s="160">
        <v>0</v>
      </c>
      <c r="L181" s="160">
        <v>0</v>
      </c>
      <c r="M181" s="160">
        <v>0</v>
      </c>
      <c r="N181" s="160">
        <v>0</v>
      </c>
      <c r="O181" s="160">
        <f>SUM(H181:N181)</f>
        <v>330820.19999999995</v>
      </c>
    </row>
    <row r="182" spans="1:24" ht="18.75" customHeight="1">
      <c r="A182" s="157"/>
      <c r="B182" s="169"/>
      <c r="C182" s="155" t="s">
        <v>25</v>
      </c>
      <c r="D182" s="49"/>
      <c r="E182" s="49"/>
      <c r="F182" s="49"/>
      <c r="G182" s="49"/>
      <c r="H182" s="11">
        <f>H178+H181</f>
        <v>1983674</v>
      </c>
      <c r="I182" s="11">
        <f t="shared" ref="I182:J182" si="27">I178+I181</f>
        <v>1686012.7</v>
      </c>
      <c r="J182" s="11">
        <f t="shared" si="27"/>
        <v>1750966.7</v>
      </c>
      <c r="K182" s="11"/>
      <c r="L182" s="11"/>
      <c r="M182" s="11"/>
      <c r="N182" s="11"/>
      <c r="O182" s="11">
        <f>O178+O181</f>
        <v>5420653.4000000004</v>
      </c>
    </row>
    <row r="183" spans="1:24" ht="21" customHeight="1">
      <c r="A183" s="127"/>
      <c r="B183" s="169"/>
      <c r="C183" s="124" t="s">
        <v>26</v>
      </c>
      <c r="D183" s="48"/>
      <c r="E183" s="48"/>
      <c r="F183" s="48"/>
      <c r="G183" s="48"/>
      <c r="H183" s="11"/>
      <c r="I183" s="11"/>
      <c r="J183" s="11"/>
      <c r="K183" s="11"/>
      <c r="L183" s="11"/>
      <c r="M183" s="11"/>
      <c r="N183" s="11"/>
      <c r="O183" s="11"/>
    </row>
    <row r="184" spans="1:24" ht="24.75" customHeight="1">
      <c r="A184" s="133" t="s">
        <v>173</v>
      </c>
      <c r="B184" s="124"/>
      <c r="C184" s="244" t="s">
        <v>95</v>
      </c>
      <c r="D184" s="244"/>
      <c r="E184" s="244"/>
      <c r="F184" s="244"/>
      <c r="G184" s="244"/>
      <c r="H184" s="244"/>
      <c r="I184" s="244"/>
      <c r="J184" s="244"/>
      <c r="K184" s="244"/>
      <c r="L184" s="244"/>
      <c r="M184" s="244"/>
      <c r="N184" s="244"/>
      <c r="O184" s="244"/>
    </row>
    <row r="185" spans="1:24" ht="32.25" customHeight="1">
      <c r="A185" s="246"/>
      <c r="B185" s="124" t="s">
        <v>95</v>
      </c>
      <c r="C185" s="246" t="s">
        <v>18</v>
      </c>
      <c r="D185" s="131">
        <v>828</v>
      </c>
      <c r="E185" s="65" t="s">
        <v>174</v>
      </c>
      <c r="F185" s="131" t="s">
        <v>175</v>
      </c>
      <c r="G185" s="124"/>
      <c r="H185" s="11">
        <f t="shared" ref="H185:N185" si="28">SUM(H186:H198)</f>
        <v>1725640.4000000001</v>
      </c>
      <c r="I185" s="11">
        <f t="shared" si="28"/>
        <v>1462160.7</v>
      </c>
      <c r="J185" s="11">
        <f t="shared" si="28"/>
        <v>1504253.5999999999</v>
      </c>
      <c r="K185" s="11">
        <f t="shared" si="28"/>
        <v>1504578.2</v>
      </c>
      <c r="L185" s="11">
        <f t="shared" si="28"/>
        <v>1538578.2</v>
      </c>
      <c r="M185" s="11">
        <f t="shared" si="28"/>
        <v>1538578.2</v>
      </c>
      <c r="N185" s="11">
        <f t="shared" si="28"/>
        <v>1538578.2</v>
      </c>
      <c r="O185" s="11">
        <f t="shared" ref="O185:O198" si="29">SUM(H185:N185)</f>
        <v>10812367.5</v>
      </c>
      <c r="Q185" s="31">
        <f t="shared" ref="Q185:X185" si="30">H185+H204</f>
        <v>1726767.5000000002</v>
      </c>
      <c r="R185" s="31">
        <f t="shared" si="30"/>
        <v>1463634.5999999999</v>
      </c>
      <c r="S185" s="31">
        <f t="shared" si="30"/>
        <v>1505727.4999999998</v>
      </c>
      <c r="T185" s="31">
        <f t="shared" si="30"/>
        <v>1506052.0999999999</v>
      </c>
      <c r="U185" s="31">
        <f t="shared" si="30"/>
        <v>1540052.0999999999</v>
      </c>
      <c r="V185" s="31">
        <f t="shared" si="30"/>
        <v>1540052.0999999999</v>
      </c>
      <c r="W185" s="31">
        <f t="shared" si="30"/>
        <v>1540052.0999999999</v>
      </c>
      <c r="X185" s="32">
        <f t="shared" si="30"/>
        <v>10822338</v>
      </c>
    </row>
    <row r="186" spans="1:24" ht="21.75" customHeight="1">
      <c r="A186" s="247"/>
      <c r="B186" s="124"/>
      <c r="C186" s="247"/>
      <c r="D186" s="131">
        <v>828</v>
      </c>
      <c r="E186" s="65" t="s">
        <v>176</v>
      </c>
      <c r="F186" s="131" t="s">
        <v>177</v>
      </c>
      <c r="G186" s="131">
        <v>500</v>
      </c>
      <c r="H186" s="11">
        <v>20436</v>
      </c>
      <c r="I186" s="11">
        <v>20993</v>
      </c>
      <c r="J186" s="11">
        <v>20993</v>
      </c>
      <c r="K186" s="11">
        <v>20993</v>
      </c>
      <c r="L186" s="11">
        <v>20993</v>
      </c>
      <c r="M186" s="11">
        <v>20993</v>
      </c>
      <c r="N186" s="11">
        <v>20993</v>
      </c>
      <c r="O186" s="11">
        <f t="shared" si="29"/>
        <v>146394</v>
      </c>
    </row>
    <row r="187" spans="1:24" ht="21.75" customHeight="1">
      <c r="A187" s="247"/>
      <c r="B187" s="124"/>
      <c r="C187" s="247"/>
      <c r="D187" s="131">
        <v>828</v>
      </c>
      <c r="E187" s="131" t="s">
        <v>176</v>
      </c>
      <c r="F187" s="131" t="s">
        <v>178</v>
      </c>
      <c r="G187" s="131">
        <v>500</v>
      </c>
      <c r="H187" s="11">
        <v>12936.8</v>
      </c>
      <c r="I187" s="11">
        <v>15431.3</v>
      </c>
      <c r="J187" s="11">
        <v>15431.3</v>
      </c>
      <c r="K187" s="11">
        <v>15431.3</v>
      </c>
      <c r="L187" s="11">
        <v>15431.3</v>
      </c>
      <c r="M187" s="11">
        <v>15431.3</v>
      </c>
      <c r="N187" s="11">
        <v>15431.3</v>
      </c>
      <c r="O187" s="11">
        <f t="shared" si="29"/>
        <v>105524.6</v>
      </c>
    </row>
    <row r="188" spans="1:24" ht="21.75" customHeight="1">
      <c r="A188" s="247"/>
      <c r="B188" s="124"/>
      <c r="C188" s="247"/>
      <c r="D188" s="131">
        <v>812</v>
      </c>
      <c r="E188" s="131" t="s">
        <v>179</v>
      </c>
      <c r="F188" s="131" t="s">
        <v>177</v>
      </c>
      <c r="G188" s="131">
        <v>500</v>
      </c>
      <c r="H188" s="11">
        <v>200</v>
      </c>
      <c r="I188" s="11"/>
      <c r="J188" s="11"/>
      <c r="K188" s="11"/>
      <c r="L188" s="11"/>
      <c r="M188" s="11"/>
      <c r="N188" s="11"/>
      <c r="O188" s="11">
        <f t="shared" si="29"/>
        <v>200</v>
      </c>
    </row>
    <row r="189" spans="1:24" ht="21.75" customHeight="1">
      <c r="A189" s="247"/>
      <c r="B189" s="124"/>
      <c r="C189" s="247"/>
      <c r="D189" s="131">
        <v>828</v>
      </c>
      <c r="E189" s="65" t="s">
        <v>176</v>
      </c>
      <c r="F189" s="131" t="s">
        <v>180</v>
      </c>
      <c r="G189" s="131">
        <v>500</v>
      </c>
      <c r="H189" s="11">
        <v>163.19999999999999</v>
      </c>
      <c r="I189" s="11">
        <v>163.19999999999999</v>
      </c>
      <c r="J189" s="11">
        <v>163.19999999999999</v>
      </c>
      <c r="K189" s="11">
        <v>163.19999999999999</v>
      </c>
      <c r="L189" s="11">
        <v>163.19999999999999</v>
      </c>
      <c r="M189" s="11">
        <v>163.19999999999999</v>
      </c>
      <c r="N189" s="11">
        <v>163.19999999999999</v>
      </c>
      <c r="O189" s="11">
        <f t="shared" si="29"/>
        <v>1142.4000000000001</v>
      </c>
      <c r="R189" s="31"/>
    </row>
    <row r="190" spans="1:24" ht="21.75" customHeight="1">
      <c r="A190" s="247"/>
      <c r="B190" s="124"/>
      <c r="C190" s="247"/>
      <c r="D190" s="131">
        <v>828</v>
      </c>
      <c r="E190" s="65" t="s">
        <v>176</v>
      </c>
      <c r="F190" s="131" t="s">
        <v>181</v>
      </c>
      <c r="G190" s="131">
        <v>500</v>
      </c>
      <c r="H190" s="11">
        <f>4708.9-2179.3</f>
        <v>2529.5999999999995</v>
      </c>
      <c r="I190" s="11">
        <v>4691.3999999999996</v>
      </c>
      <c r="J190" s="11">
        <v>4691.3999999999996</v>
      </c>
      <c r="K190" s="11">
        <v>4691.3999999999996</v>
      </c>
      <c r="L190" s="11">
        <v>4691.3999999999996</v>
      </c>
      <c r="M190" s="11">
        <v>4691.3999999999996</v>
      </c>
      <c r="N190" s="11">
        <v>4691.3999999999996</v>
      </c>
      <c r="O190" s="11">
        <f t="shared" si="29"/>
        <v>30678</v>
      </c>
    </row>
    <row r="191" spans="1:24" ht="21.75" customHeight="1">
      <c r="A191" s="248"/>
      <c r="B191" s="124"/>
      <c r="C191" s="248"/>
      <c r="D191" s="131">
        <v>828</v>
      </c>
      <c r="E191" s="65" t="s">
        <v>176</v>
      </c>
      <c r="F191" s="131" t="s">
        <v>182</v>
      </c>
      <c r="G191" s="131">
        <v>200</v>
      </c>
      <c r="H191" s="11">
        <f>1067892-29045</f>
        <v>1038847</v>
      </c>
      <c r="I191" s="11">
        <v>1217892</v>
      </c>
      <c r="J191" s="11">
        <v>1217892</v>
      </c>
      <c r="K191" s="11">
        <v>1217892</v>
      </c>
      <c r="L191" s="11">
        <v>1217892</v>
      </c>
      <c r="M191" s="11">
        <v>1217892</v>
      </c>
      <c r="N191" s="11">
        <v>1217892</v>
      </c>
      <c r="O191" s="11">
        <f t="shared" si="29"/>
        <v>8346199</v>
      </c>
    </row>
    <row r="192" spans="1:24" ht="21.75" customHeight="1">
      <c r="A192" s="246"/>
      <c r="B192" s="124"/>
      <c r="C192" s="246"/>
      <c r="D192" s="131">
        <v>828</v>
      </c>
      <c r="E192" s="65" t="s">
        <v>176</v>
      </c>
      <c r="F192" s="131" t="s">
        <v>183</v>
      </c>
      <c r="G192" s="131">
        <v>800</v>
      </c>
      <c r="H192" s="11">
        <v>17046.2</v>
      </c>
      <c r="I192" s="66"/>
      <c r="J192" s="11"/>
      <c r="K192" s="11"/>
      <c r="L192" s="11"/>
      <c r="M192" s="11"/>
      <c r="N192" s="11"/>
      <c r="O192" s="11">
        <f t="shared" si="29"/>
        <v>17046.2</v>
      </c>
    </row>
    <row r="193" spans="1:24" ht="21.75" customHeight="1">
      <c r="A193" s="247"/>
      <c r="B193" s="124"/>
      <c r="C193" s="247"/>
      <c r="D193" s="131">
        <v>828</v>
      </c>
      <c r="E193" s="65" t="s">
        <v>176</v>
      </c>
      <c r="F193" s="131" t="s">
        <v>184</v>
      </c>
      <c r="G193" s="131">
        <v>500</v>
      </c>
      <c r="H193" s="60">
        <f>389780-376.2</f>
        <v>389403.8</v>
      </c>
      <c r="I193" s="11"/>
      <c r="J193" s="11"/>
      <c r="K193" s="11"/>
      <c r="L193" s="11"/>
      <c r="M193" s="11"/>
      <c r="N193" s="11"/>
      <c r="O193" s="11">
        <f t="shared" si="29"/>
        <v>389403.8</v>
      </c>
    </row>
    <row r="194" spans="1:24" ht="21.75" customHeight="1">
      <c r="A194" s="247"/>
      <c r="B194" s="124"/>
      <c r="C194" s="247"/>
      <c r="D194" s="131">
        <v>828</v>
      </c>
      <c r="E194" s="65" t="s">
        <v>176</v>
      </c>
      <c r="F194" s="131" t="s">
        <v>185</v>
      </c>
      <c r="G194" s="131">
        <v>800</v>
      </c>
      <c r="H194" s="11">
        <v>229866</v>
      </c>
      <c r="I194" s="11">
        <f>218091.5-30000</f>
        <v>188091.5</v>
      </c>
      <c r="J194" s="11">
        <v>229866</v>
      </c>
      <c r="K194" s="11">
        <v>229866</v>
      </c>
      <c r="L194" s="11">
        <v>229866</v>
      </c>
      <c r="M194" s="11">
        <v>229866</v>
      </c>
      <c r="N194" s="11">
        <v>229866</v>
      </c>
      <c r="O194" s="11">
        <f t="shared" si="29"/>
        <v>1567287.5</v>
      </c>
    </row>
    <row r="195" spans="1:24" ht="21.75" customHeight="1">
      <c r="A195" s="247"/>
      <c r="B195" s="124"/>
      <c r="C195" s="247"/>
      <c r="D195" s="131">
        <v>810</v>
      </c>
      <c r="E195" s="65" t="s">
        <v>176</v>
      </c>
      <c r="F195" s="131" t="s">
        <v>186</v>
      </c>
      <c r="G195" s="131">
        <v>800</v>
      </c>
      <c r="H195" s="67">
        <v>9251.7999999999993</v>
      </c>
      <c r="I195" s="67">
        <v>7798.3</v>
      </c>
      <c r="J195" s="67">
        <v>8116.7</v>
      </c>
      <c r="K195" s="67">
        <v>8441.2999999999993</v>
      </c>
      <c r="L195" s="67">
        <v>8441.2999999999993</v>
      </c>
      <c r="M195" s="67">
        <v>8441.2999999999993</v>
      </c>
      <c r="N195" s="67">
        <v>8441.2999999999993</v>
      </c>
      <c r="O195" s="11">
        <f t="shared" si="29"/>
        <v>58932</v>
      </c>
    </row>
    <row r="196" spans="1:24" ht="21.75" hidden="1" customHeight="1">
      <c r="A196" s="247"/>
      <c r="B196" s="124"/>
      <c r="C196" s="247"/>
      <c r="D196" s="127">
        <v>810</v>
      </c>
      <c r="E196" s="127" t="s">
        <v>176</v>
      </c>
      <c r="F196" s="127" t="s">
        <v>187</v>
      </c>
      <c r="G196" s="127">
        <v>800</v>
      </c>
      <c r="H196" s="11"/>
      <c r="I196" s="11"/>
      <c r="J196" s="11"/>
      <c r="K196" s="11"/>
      <c r="L196" s="11"/>
      <c r="M196" s="11"/>
      <c r="N196" s="11"/>
      <c r="O196" s="11">
        <f t="shared" si="29"/>
        <v>0</v>
      </c>
    </row>
    <row r="197" spans="1:24" ht="21.75" customHeight="1">
      <c r="A197" s="247"/>
      <c r="B197" s="124"/>
      <c r="C197" s="247"/>
      <c r="D197" s="131">
        <v>828</v>
      </c>
      <c r="E197" s="65" t="s">
        <v>176</v>
      </c>
      <c r="F197" s="131" t="s">
        <v>188</v>
      </c>
      <c r="G197" s="131">
        <v>800</v>
      </c>
      <c r="H197" s="67">
        <f>7100-2140</f>
        <v>4960</v>
      </c>
      <c r="I197" s="11">
        <v>7100</v>
      </c>
      <c r="J197" s="11">
        <v>7100</v>
      </c>
      <c r="K197" s="11">
        <v>7100</v>
      </c>
      <c r="L197" s="11">
        <v>7100</v>
      </c>
      <c r="M197" s="11">
        <v>7100</v>
      </c>
      <c r="N197" s="11">
        <v>7100</v>
      </c>
      <c r="O197" s="11">
        <f t="shared" si="29"/>
        <v>47560</v>
      </c>
    </row>
    <row r="198" spans="1:24" ht="21.75" customHeight="1">
      <c r="A198" s="248"/>
      <c r="B198" s="124"/>
      <c r="C198" s="248"/>
      <c r="D198" s="131">
        <v>828</v>
      </c>
      <c r="E198" s="65" t="s">
        <v>176</v>
      </c>
      <c r="F198" s="131" t="s">
        <v>189</v>
      </c>
      <c r="G198" s="131">
        <v>800</v>
      </c>
      <c r="H198" s="11"/>
      <c r="I198" s="11"/>
      <c r="J198" s="11"/>
      <c r="K198" s="11"/>
      <c r="L198" s="11">
        <v>34000</v>
      </c>
      <c r="M198" s="11">
        <v>34000</v>
      </c>
      <c r="N198" s="11">
        <v>34000</v>
      </c>
      <c r="O198" s="11">
        <f t="shared" si="29"/>
        <v>102000</v>
      </c>
    </row>
    <row r="199" spans="1:24" ht="34.5" customHeight="1">
      <c r="A199" s="127"/>
      <c r="B199" s="124"/>
      <c r="C199" s="124" t="s">
        <v>20</v>
      </c>
      <c r="D199" s="48"/>
      <c r="E199" s="48"/>
      <c r="F199" s="48"/>
      <c r="G199" s="48"/>
      <c r="H199" s="11"/>
      <c r="I199" s="11"/>
      <c r="J199" s="11"/>
      <c r="K199" s="11"/>
      <c r="L199" s="11"/>
      <c r="M199" s="11"/>
      <c r="N199" s="11"/>
      <c r="O199" s="11"/>
    </row>
    <row r="200" spans="1:24" ht="31.5">
      <c r="A200" s="127"/>
      <c r="B200" s="124"/>
      <c r="C200" s="124" t="s">
        <v>21</v>
      </c>
      <c r="D200" s="49"/>
      <c r="E200" s="49"/>
      <c r="F200" s="49"/>
      <c r="G200" s="49"/>
      <c r="H200" s="11"/>
      <c r="I200" s="11"/>
      <c r="J200" s="11"/>
      <c r="K200" s="11"/>
      <c r="L200" s="11"/>
      <c r="M200" s="11"/>
      <c r="N200" s="11"/>
      <c r="O200" s="11"/>
    </row>
    <row r="201" spans="1:24" ht="22.35" customHeight="1">
      <c r="A201" s="127"/>
      <c r="B201" s="10"/>
      <c r="C201" s="10" t="s">
        <v>112</v>
      </c>
      <c r="D201" s="49"/>
      <c r="E201" s="49"/>
      <c r="F201" s="49"/>
      <c r="G201" s="49"/>
      <c r="H201" s="11">
        <f t="shared" ref="H201:N201" si="31">H186+H187+H188+H189+H190+H193</f>
        <v>425669.39999999997</v>
      </c>
      <c r="I201" s="11">
        <f t="shared" si="31"/>
        <v>41278.9</v>
      </c>
      <c r="J201" s="11">
        <f t="shared" si="31"/>
        <v>41278.9</v>
      </c>
      <c r="K201" s="11">
        <f t="shared" si="31"/>
        <v>41278.9</v>
      </c>
      <c r="L201" s="11">
        <f t="shared" si="31"/>
        <v>41278.9</v>
      </c>
      <c r="M201" s="11">
        <f t="shared" si="31"/>
        <v>41278.9</v>
      </c>
      <c r="N201" s="11">
        <f t="shared" si="31"/>
        <v>41278.9</v>
      </c>
      <c r="O201" s="11">
        <f>SUM(H201:N201)</f>
        <v>673342.8</v>
      </c>
    </row>
    <row r="202" spans="1:24" ht="52.15" customHeight="1">
      <c r="A202" s="127"/>
      <c r="B202" s="124"/>
      <c r="C202" s="124" t="s">
        <v>23</v>
      </c>
      <c r="D202" s="48"/>
      <c r="E202" s="48"/>
      <c r="F202" s="48"/>
      <c r="G202" s="48"/>
      <c r="H202" s="11"/>
      <c r="I202" s="11"/>
      <c r="J202" s="11"/>
      <c r="K202" s="11"/>
      <c r="L202" s="11"/>
      <c r="M202" s="11"/>
      <c r="N202" s="11"/>
      <c r="O202" s="11"/>
    </row>
    <row r="203" spans="1:24" ht="50.25" customHeight="1">
      <c r="A203" s="127"/>
      <c r="B203" s="124"/>
      <c r="C203" s="124" t="s">
        <v>24</v>
      </c>
      <c r="D203" s="48"/>
      <c r="E203" s="48"/>
      <c r="F203" s="48"/>
      <c r="G203" s="48"/>
      <c r="H203" s="11"/>
      <c r="I203" s="11"/>
      <c r="J203" s="11"/>
      <c r="K203" s="11"/>
      <c r="L203" s="11"/>
      <c r="M203" s="11"/>
      <c r="N203" s="11"/>
      <c r="O203" s="11"/>
    </row>
    <row r="204" spans="1:24" ht="21" hidden="1" customHeight="1">
      <c r="A204" s="127"/>
      <c r="B204" s="124"/>
      <c r="C204" s="158" t="s">
        <v>344</v>
      </c>
      <c r="D204" s="161"/>
      <c r="E204" s="161"/>
      <c r="F204" s="161"/>
      <c r="G204" s="161"/>
      <c r="H204" s="164">
        <v>1127.0999999999999</v>
      </c>
      <c r="I204" s="160">
        <v>1473.9</v>
      </c>
      <c r="J204" s="160">
        <v>1473.9</v>
      </c>
      <c r="K204" s="160">
        <v>1473.9</v>
      </c>
      <c r="L204" s="160">
        <v>1473.9</v>
      </c>
      <c r="M204" s="160">
        <v>1473.9</v>
      </c>
      <c r="N204" s="160">
        <v>1473.9</v>
      </c>
      <c r="O204" s="160">
        <f>SUM(H204:N204)</f>
        <v>9970.5</v>
      </c>
    </row>
    <row r="205" spans="1:24" ht="21" customHeight="1">
      <c r="A205" s="157"/>
      <c r="B205" s="155"/>
      <c r="C205" s="155" t="s">
        <v>25</v>
      </c>
      <c r="D205" s="49"/>
      <c r="E205" s="49"/>
      <c r="F205" s="49"/>
      <c r="G205" s="49"/>
      <c r="H205" s="60">
        <f>H201+H204</f>
        <v>426796.49999999994</v>
      </c>
      <c r="I205" s="60">
        <f t="shared" ref="I205:N205" si="32">I201+I204</f>
        <v>42752.800000000003</v>
      </c>
      <c r="J205" s="60">
        <f t="shared" si="32"/>
        <v>42752.800000000003</v>
      </c>
      <c r="K205" s="60">
        <f t="shared" si="32"/>
        <v>42752.800000000003</v>
      </c>
      <c r="L205" s="60">
        <f t="shared" si="32"/>
        <v>42752.800000000003</v>
      </c>
      <c r="M205" s="60">
        <f t="shared" si="32"/>
        <v>42752.800000000003</v>
      </c>
      <c r="N205" s="60">
        <f t="shared" si="32"/>
        <v>42752.800000000003</v>
      </c>
      <c r="O205" s="60">
        <f>O201+O204</f>
        <v>683313.3</v>
      </c>
    </row>
    <row r="206" spans="1:24" ht="21" customHeight="1">
      <c r="A206" s="127"/>
      <c r="B206" s="124"/>
      <c r="C206" s="124" t="s">
        <v>26</v>
      </c>
      <c r="D206" s="48"/>
      <c r="E206" s="48"/>
      <c r="F206" s="48"/>
      <c r="G206" s="48"/>
      <c r="H206" s="11"/>
      <c r="I206" s="11"/>
      <c r="J206" s="11"/>
      <c r="K206" s="11"/>
      <c r="L206" s="11"/>
      <c r="M206" s="11"/>
      <c r="N206" s="11"/>
      <c r="O206" s="11"/>
    </row>
    <row r="207" spans="1:24" ht="36" customHeight="1">
      <c r="A207" s="133" t="s">
        <v>190</v>
      </c>
      <c r="B207" s="124"/>
      <c r="C207" s="244" t="s">
        <v>100</v>
      </c>
      <c r="D207" s="244"/>
      <c r="E207" s="244"/>
      <c r="F207" s="244"/>
      <c r="G207" s="244"/>
      <c r="H207" s="244"/>
      <c r="I207" s="244"/>
      <c r="J207" s="244"/>
      <c r="K207" s="244"/>
      <c r="L207" s="244"/>
      <c r="M207" s="244"/>
      <c r="N207" s="244"/>
      <c r="O207" s="244"/>
    </row>
    <row r="208" spans="1:24" ht="31.5" customHeight="1">
      <c r="A208" s="245"/>
      <c r="B208" s="124" t="s">
        <v>100</v>
      </c>
      <c r="C208" s="166" t="s">
        <v>18</v>
      </c>
      <c r="D208" s="131">
        <v>828</v>
      </c>
      <c r="E208" s="65" t="s">
        <v>191</v>
      </c>
      <c r="F208" s="131" t="s">
        <v>192</v>
      </c>
      <c r="G208" s="124"/>
      <c r="H208" s="11">
        <f t="shared" ref="H208:O208" si="33">SUM(H209:H212)</f>
        <v>224334.5</v>
      </c>
      <c r="I208" s="11">
        <f t="shared" si="33"/>
        <v>255411</v>
      </c>
      <c r="J208" s="11">
        <f t="shared" si="33"/>
        <v>250320</v>
      </c>
      <c r="K208" s="11">
        <f t="shared" si="33"/>
        <v>259891</v>
      </c>
      <c r="L208" s="11">
        <f t="shared" si="33"/>
        <v>270286.64</v>
      </c>
      <c r="M208" s="11">
        <f t="shared" si="33"/>
        <v>281098.10560000001</v>
      </c>
      <c r="N208" s="11">
        <f t="shared" si="33"/>
        <v>292341.92982399999</v>
      </c>
      <c r="O208" s="11">
        <f t="shared" si="33"/>
        <v>1833683.175424</v>
      </c>
      <c r="Q208" s="31">
        <f t="shared" ref="Q208:W208" si="34">H208</f>
        <v>224334.5</v>
      </c>
      <c r="R208" s="31">
        <f t="shared" si="34"/>
        <v>255411</v>
      </c>
      <c r="S208" s="31">
        <f t="shared" si="34"/>
        <v>250320</v>
      </c>
      <c r="T208" s="31">
        <f t="shared" si="34"/>
        <v>259891</v>
      </c>
      <c r="U208" s="31">
        <f t="shared" si="34"/>
        <v>270286.64</v>
      </c>
      <c r="V208" s="31">
        <f t="shared" si="34"/>
        <v>281098.10560000001</v>
      </c>
      <c r="W208" s="31">
        <f t="shared" si="34"/>
        <v>292341.92982399999</v>
      </c>
      <c r="X208" s="32">
        <f>SUM(Q208:W208)</f>
        <v>1833683.175424</v>
      </c>
    </row>
    <row r="209" spans="1:15" ht="33.75" customHeight="1">
      <c r="A209" s="245"/>
      <c r="B209" s="124"/>
      <c r="C209" s="166"/>
      <c r="D209" s="131">
        <v>828</v>
      </c>
      <c r="E209" s="65" t="s">
        <v>176</v>
      </c>
      <c r="F209" s="131" t="s">
        <v>193</v>
      </c>
      <c r="G209" s="123" t="s">
        <v>194</v>
      </c>
      <c r="H209" s="60">
        <v>42966.3</v>
      </c>
      <c r="I209" s="60">
        <v>47064</v>
      </c>
      <c r="J209" s="43">
        <v>46883</v>
      </c>
      <c r="K209" s="38">
        <v>48672</v>
      </c>
      <c r="L209" s="38">
        <f>K209*1.04</f>
        <v>50618.880000000005</v>
      </c>
      <c r="M209" s="38">
        <f>L209*1.04</f>
        <v>52643.635200000004</v>
      </c>
      <c r="N209" s="64">
        <f>M209*1.04</f>
        <v>54749.380608000007</v>
      </c>
      <c r="O209" s="11">
        <f>SUM(H209:N209)</f>
        <v>343597.19580800005</v>
      </c>
    </row>
    <row r="210" spans="1:15" ht="31.5" customHeight="1">
      <c r="A210" s="245"/>
      <c r="B210" s="124"/>
      <c r="C210" s="166"/>
      <c r="D210" s="131">
        <v>828</v>
      </c>
      <c r="E210" s="65" t="s">
        <v>195</v>
      </c>
      <c r="F210" s="131" t="s">
        <v>196</v>
      </c>
      <c r="G210" s="123" t="s">
        <v>197</v>
      </c>
      <c r="H210" s="11">
        <f>146639.9-600</f>
        <v>146039.9</v>
      </c>
      <c r="I210" s="68"/>
      <c r="J210" s="68"/>
      <c r="K210" s="68"/>
      <c r="L210" s="68"/>
      <c r="M210" s="68"/>
      <c r="N210" s="68"/>
      <c r="O210" s="11">
        <f>SUM(H210:N210)</f>
        <v>146039.9</v>
      </c>
    </row>
    <row r="211" spans="1:15" ht="33.75" customHeight="1">
      <c r="A211" s="245"/>
      <c r="B211" s="124"/>
      <c r="C211" s="166"/>
      <c r="D211" s="131">
        <v>828</v>
      </c>
      <c r="E211" s="65" t="s">
        <v>195</v>
      </c>
      <c r="F211" s="131" t="s">
        <v>198</v>
      </c>
      <c r="G211" s="123" t="s">
        <v>197</v>
      </c>
      <c r="H211" s="11"/>
      <c r="I211" s="11">
        <v>167708</v>
      </c>
      <c r="J211" s="11">
        <v>162816</v>
      </c>
      <c r="K211" s="11">
        <v>169157</v>
      </c>
      <c r="L211" s="11">
        <v>175923.28</v>
      </c>
      <c r="M211" s="11">
        <v>182960.21119999999</v>
      </c>
      <c r="N211" s="11">
        <f>190278.619648-0.1</f>
        <v>190278.51964799999</v>
      </c>
      <c r="O211" s="11">
        <f>SUM(H211:N211)</f>
        <v>1048843.0108479999</v>
      </c>
    </row>
    <row r="212" spans="1:15" ht="33" customHeight="1">
      <c r="A212" s="245"/>
      <c r="B212" s="124"/>
      <c r="C212" s="166"/>
      <c r="D212" s="131">
        <v>828</v>
      </c>
      <c r="E212" s="65" t="s">
        <v>176</v>
      </c>
      <c r="F212" s="131" t="s">
        <v>196</v>
      </c>
      <c r="G212" s="123" t="s">
        <v>194</v>
      </c>
      <c r="H212" s="11">
        <v>35328.300000000003</v>
      </c>
      <c r="I212" s="11">
        <v>40639</v>
      </c>
      <c r="J212" s="11">
        <v>40621</v>
      </c>
      <c r="K212" s="11">
        <v>42062</v>
      </c>
      <c r="L212" s="11">
        <v>43744.480000000003</v>
      </c>
      <c r="M212" s="11">
        <v>45494.2592</v>
      </c>
      <c r="N212" s="11">
        <v>47314.029567999998</v>
      </c>
      <c r="O212" s="11">
        <f>SUM(H212:N212)</f>
        <v>295203.068768</v>
      </c>
    </row>
    <row r="213" spans="1:15" ht="31.5" customHeight="1">
      <c r="A213" s="127"/>
      <c r="B213" s="124"/>
      <c r="C213" s="124" t="s">
        <v>20</v>
      </c>
      <c r="D213" s="48"/>
      <c r="E213" s="48"/>
      <c r="F213" s="48"/>
      <c r="G213" s="48"/>
      <c r="H213" s="11"/>
      <c r="I213" s="11"/>
      <c r="J213" s="11"/>
      <c r="K213" s="11"/>
      <c r="L213" s="11"/>
      <c r="M213" s="11"/>
      <c r="N213" s="11"/>
      <c r="O213" s="11"/>
    </row>
    <row r="214" spans="1:15" ht="31.5">
      <c r="A214" s="127"/>
      <c r="B214" s="124"/>
      <c r="C214" s="124" t="s">
        <v>21</v>
      </c>
      <c r="D214" s="49"/>
      <c r="E214" s="49"/>
      <c r="F214" s="49"/>
      <c r="G214" s="49"/>
      <c r="H214" s="11"/>
      <c r="I214" s="11"/>
      <c r="J214" s="11"/>
      <c r="K214" s="11"/>
      <c r="L214" s="11"/>
      <c r="M214" s="11"/>
      <c r="N214" s="11"/>
      <c r="O214" s="11"/>
    </row>
    <row r="215" spans="1:15" ht="27" customHeight="1">
      <c r="A215" s="127"/>
      <c r="B215" s="10"/>
      <c r="C215" s="10" t="s">
        <v>112</v>
      </c>
      <c r="D215" s="49"/>
      <c r="E215" s="49"/>
      <c r="F215" s="49"/>
      <c r="G215" s="49"/>
      <c r="H215" s="11"/>
      <c r="I215" s="11"/>
      <c r="J215" s="11"/>
      <c r="K215" s="11"/>
      <c r="L215" s="11"/>
      <c r="M215" s="11"/>
      <c r="N215" s="11"/>
      <c r="O215" s="11"/>
    </row>
    <row r="216" spans="1:15" ht="67.5" customHeight="1">
      <c r="A216" s="127"/>
      <c r="B216" s="124"/>
      <c r="C216" s="124" t="s">
        <v>23</v>
      </c>
      <c r="D216" s="48"/>
      <c r="E216" s="48"/>
      <c r="F216" s="48"/>
      <c r="G216" s="48"/>
      <c r="H216" s="11"/>
      <c r="I216" s="11"/>
      <c r="J216" s="11"/>
      <c r="K216" s="11"/>
      <c r="L216" s="11"/>
      <c r="M216" s="11"/>
      <c r="N216" s="11"/>
      <c r="O216" s="11"/>
    </row>
    <row r="217" spans="1:15" ht="49.5" customHeight="1">
      <c r="A217" s="127"/>
      <c r="B217" s="124"/>
      <c r="C217" s="124" t="s">
        <v>24</v>
      </c>
      <c r="D217" s="48"/>
      <c r="E217" s="48"/>
      <c r="F217" s="48"/>
      <c r="G217" s="48"/>
      <c r="H217" s="11"/>
      <c r="I217" s="11"/>
      <c r="J217" s="11"/>
      <c r="K217" s="11"/>
      <c r="L217" s="11"/>
      <c r="M217" s="11"/>
      <c r="N217" s="11"/>
      <c r="O217" s="11"/>
    </row>
    <row r="218" spans="1:15" ht="23.25" customHeight="1">
      <c r="A218" s="127"/>
      <c r="B218" s="124"/>
      <c r="C218" s="124" t="s">
        <v>25</v>
      </c>
      <c r="D218" s="49"/>
      <c r="E218" s="49"/>
      <c r="F218" s="49"/>
      <c r="G218" s="49"/>
      <c r="H218" s="11"/>
      <c r="I218" s="11"/>
      <c r="J218" s="11"/>
      <c r="K218" s="11"/>
      <c r="L218" s="11"/>
      <c r="M218" s="11"/>
      <c r="N218" s="11"/>
      <c r="O218" s="11"/>
    </row>
    <row r="219" spans="1:15" ht="25.5" customHeight="1">
      <c r="A219" s="127"/>
      <c r="B219" s="124"/>
      <c r="C219" s="124" t="s">
        <v>26</v>
      </c>
      <c r="D219" s="48"/>
      <c r="E219" s="48"/>
      <c r="F219" s="48"/>
      <c r="G219" s="48"/>
      <c r="H219" s="11"/>
      <c r="I219" s="11"/>
      <c r="J219" s="11"/>
      <c r="K219" s="11"/>
      <c r="L219" s="11"/>
      <c r="M219" s="11"/>
      <c r="N219" s="11"/>
      <c r="O219" s="11"/>
    </row>
    <row r="220" spans="1:15" ht="24" hidden="1" customHeight="1"/>
    <row r="221" spans="1:15" ht="56.25" hidden="1" customHeight="1">
      <c r="C221" s="69" t="s">
        <v>199</v>
      </c>
      <c r="D221" s="69"/>
      <c r="E221" s="69"/>
      <c r="F221" s="69"/>
      <c r="G221" s="69"/>
      <c r="H221" s="69"/>
      <c r="I221" s="69"/>
      <c r="J221" s="69"/>
      <c r="K221" s="69"/>
      <c r="L221" s="69"/>
      <c r="M221" s="69" t="s">
        <v>200</v>
      </c>
      <c r="N221" s="70"/>
    </row>
    <row r="222" spans="1:15" ht="24" hidden="1" customHeight="1">
      <c r="C222" s="70"/>
      <c r="D222" s="70"/>
      <c r="E222" s="70"/>
      <c r="F222" s="70"/>
      <c r="G222" s="70"/>
      <c r="H222" s="70"/>
      <c r="I222" s="70"/>
      <c r="J222" s="70"/>
      <c r="K222" s="70"/>
      <c r="L222" s="70"/>
      <c r="M222" s="70"/>
      <c r="N222" s="70"/>
    </row>
    <row r="223" spans="1:15" hidden="1"/>
    <row r="225" spans="8:14">
      <c r="H225" s="31"/>
    </row>
    <row r="227" spans="8:14">
      <c r="H227" s="31"/>
      <c r="I227" s="31"/>
      <c r="J227" s="31"/>
      <c r="K227" s="31"/>
      <c r="L227" s="31"/>
      <c r="M227" s="31"/>
      <c r="N227" s="31"/>
    </row>
    <row r="229" spans="8:14">
      <c r="H229" s="31"/>
    </row>
  </sheetData>
  <mergeCells count="57">
    <mergeCell ref="K2:O2"/>
    <mergeCell ref="K3:O3"/>
    <mergeCell ref="K4:O4"/>
    <mergeCell ref="K5:O5"/>
    <mergeCell ref="A7:O7"/>
    <mergeCell ref="A9:O9"/>
    <mergeCell ref="A11:A12"/>
    <mergeCell ref="B11:B12"/>
    <mergeCell ref="C11:C12"/>
    <mergeCell ref="H11:O11"/>
    <mergeCell ref="B14:B17"/>
    <mergeCell ref="B18:C18"/>
    <mergeCell ref="B19:B22"/>
    <mergeCell ref="B23:B26"/>
    <mergeCell ref="B27:B30"/>
    <mergeCell ref="B31:B34"/>
    <mergeCell ref="B35:B38"/>
    <mergeCell ref="B39:B42"/>
    <mergeCell ref="B43:B46"/>
    <mergeCell ref="B47:B50"/>
    <mergeCell ref="B51:B54"/>
    <mergeCell ref="A57:A58"/>
    <mergeCell ref="B57:B58"/>
    <mergeCell ref="C57:C58"/>
    <mergeCell ref="D57:G57"/>
    <mergeCell ref="H57:O57"/>
    <mergeCell ref="D58:G58"/>
    <mergeCell ref="C60:O60"/>
    <mergeCell ref="B62:B71"/>
    <mergeCell ref="C72:O72"/>
    <mergeCell ref="A73:A89"/>
    <mergeCell ref="B73:B97"/>
    <mergeCell ref="C73:C89"/>
    <mergeCell ref="C98:O98"/>
    <mergeCell ref="A99:A100"/>
    <mergeCell ref="C99:C100"/>
    <mergeCell ref="C109:O109"/>
    <mergeCell ref="B110:B117"/>
    <mergeCell ref="C118:O118"/>
    <mergeCell ref="B119:B127"/>
    <mergeCell ref="C128:O128"/>
    <mergeCell ref="A157:A175"/>
    <mergeCell ref="B157:B183"/>
    <mergeCell ref="C157:C175"/>
    <mergeCell ref="C184:O184"/>
    <mergeCell ref="B129:B136"/>
    <mergeCell ref="C137:O137"/>
    <mergeCell ref="A138:A147"/>
    <mergeCell ref="C138:C147"/>
    <mergeCell ref="C156:O156"/>
    <mergeCell ref="C207:O207"/>
    <mergeCell ref="A208:A212"/>
    <mergeCell ref="C208:C212"/>
    <mergeCell ref="C185:C191"/>
    <mergeCell ref="A185:A191"/>
    <mergeCell ref="A192:A198"/>
    <mergeCell ref="C192:C198"/>
  </mergeCells>
  <printOptions horizontalCentered="1"/>
  <pageMargins left="0.39370078740157483" right="0.39370078740157483" top="0.39370078740157483" bottom="0.31496062992125984" header="0.19685039370078741" footer="0.51181102362204722"/>
  <pageSetup paperSize="9" scale="62" firstPageNumber="12" orientation="landscape" useFirstPageNumber="1" horizontalDpi="300" verticalDpi="300" r:id="rId1"/>
  <headerFooter>
    <oddHeader>&amp;C&amp;"Times New Roman,обычный"&amp;12&amp;P</oddHeader>
  </headerFooter>
</worksheet>
</file>

<file path=xl/worksheets/sheet6.xml><?xml version="1.0" encoding="utf-8"?>
<worksheet xmlns="http://schemas.openxmlformats.org/spreadsheetml/2006/main" xmlns:r="http://schemas.openxmlformats.org/officeDocument/2006/relationships">
  <dimension ref="A1"/>
  <sheetViews>
    <sheetView view="pageBreakPreview" workbookViewId="0">
      <selection activeCell="AC31" sqref="AC31"/>
    </sheetView>
  </sheetViews>
  <sheetFormatPr defaultColWidth="8.7109375" defaultRowHeight="15"/>
  <sheetData/>
  <pageMargins left="0.7" right="0.7" top="0.75" bottom="0.75" header="0.511811023622047" footer="0.511811023622047"/>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253</TotalTime>
  <Application>LibreOffice/7.6.7.2$Linux_X86_64 LibreOffice_project/60$Build-2</Application>
  <DocSecurity>0</DocSecurity>
  <ScaleCrop>false</ScaleCrop>
  <HeadingPairs>
    <vt:vector size="4" baseType="variant">
      <vt:variant>
        <vt:lpstr>Листы</vt:lpstr>
      </vt:variant>
      <vt:variant>
        <vt:i4>6</vt:i4>
      </vt:variant>
      <vt:variant>
        <vt:lpstr>Именованные диапазоны</vt:lpstr>
      </vt:variant>
      <vt:variant>
        <vt:i4>11</vt:i4>
      </vt:variant>
    </vt:vector>
  </HeadingPairs>
  <TitlesOfParts>
    <vt:vector size="17" baseType="lpstr">
      <vt:lpstr>1. Основные положения ГП Уточ</vt:lpstr>
      <vt:lpstr>2. Показатели ГП УТОЧ</vt:lpstr>
      <vt:lpstr>3. Показатели ГП_по месяцам</vt:lpstr>
      <vt:lpstr>4. Структура НОВАЯ</vt:lpstr>
      <vt:lpstr>5. Финансиров 20.02.2025</vt:lpstr>
      <vt:lpstr>Лист5</vt:lpstr>
      <vt:lpstr>'1. Основные положения ГП Уточ'!_ftnref2</vt:lpstr>
      <vt:lpstr>'1. Основные положения ГП Уточ'!_ftnref3</vt:lpstr>
      <vt:lpstr>'1. Основные положения ГП Уточ'!_ftnref5</vt:lpstr>
      <vt:lpstr>'2. Показатели ГП УТОЧ'!Заголовки_для_печати</vt:lpstr>
      <vt:lpstr>'4. Структура НОВАЯ'!Заголовки_для_печати</vt:lpstr>
      <vt:lpstr>'5. Финансиров 20.02.2025'!Заголовки_для_печати</vt:lpstr>
      <vt:lpstr>'1. Основные положения ГП Уточ'!Область_печати</vt:lpstr>
      <vt:lpstr>'2. Показатели ГП УТОЧ'!Область_печати</vt:lpstr>
      <vt:lpstr>'3. Показатели ГП_по месяцам'!Область_печати</vt:lpstr>
      <vt:lpstr>'4. Структура НОВАЯ'!Область_печати</vt:lpstr>
      <vt:lpstr>'5. Финансиров 20.02.2025'!Область_печати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Кондакова Анна Юрьевна</dc:creator>
  <dc:description/>
  <cp:lastModifiedBy>Шеховцова</cp:lastModifiedBy>
  <cp:revision>18</cp:revision>
  <cp:lastPrinted>2025-03-17T13:57:48Z</cp:lastPrinted>
  <dcterms:created xsi:type="dcterms:W3CDTF">2023-03-30T13:12:42Z</dcterms:created>
  <dcterms:modified xsi:type="dcterms:W3CDTF">2025-04-09T08:25:37Z</dcterms:modified>
  <dc:language>ru-RU</dc:language>
</cp:coreProperties>
</file>